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2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charts/chart24.xml" ContentType="application/vnd.openxmlformats-officedocument.drawingml.chart+xml"/>
  <Override PartName="/xl/drawings/drawing21.xml" ContentType="application/vnd.openxmlformats-officedocument.drawingml.chartshapes+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22.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D:\00-Documents de travail MB\3° Dimension\01-AVION\Aéroclub d'Arcachon\Masse et centrage\Fichiers terminés\"/>
    </mc:Choice>
  </mc:AlternateContent>
  <xr:revisionPtr revIDLastSave="0" documentId="13_ncr:1_{087941BA-41F1-4D0A-B683-C02A794F8CD1}" xr6:coauthVersionLast="47" xr6:coauthVersionMax="47" xr10:uidLastSave="{00000000-0000-0000-0000-000000000000}"/>
  <workbookProtection workbookAlgorithmName="SHA-512" workbookHashValue="IIII7BGoWF2tP6toKfW38JcHndfT56KEGVI9O/zTGqH4zIp0YvZzbuc6Ci5JvbWHFvoSD+OU1nA4GE3vX4Tikg==" workbookSaltValue="fIhgHSYmW36t0Y7r3lRDJA==" workbookSpinCount="100000" lockStructure="1"/>
  <bookViews>
    <workbookView xWindow="-120" yWindow="-120" windowWidth="29040" windowHeight="15720" tabRatio="879" activeTab="4" xr2:uid="{377295D1-4111-46B2-A5D8-45EEA6AA9F84}"/>
  </bookViews>
  <sheets>
    <sheet name="A LIRE AVANT UTILISATION" sheetId="9" r:id="rId1"/>
    <sheet name="Gestion carburant" sheetId="19" r:id="rId2"/>
    <sheet name="Convertisseur" sheetId="23" r:id="rId3"/>
    <sheet name="1-PA18-F-GLLN" sheetId="11" r:id="rId4"/>
    <sheet name="2-Cessna 152-F-GHLU" sheetId="14" r:id="rId5"/>
    <sheet name="3-Cessna 172-F-HAFL" sheetId="13" r:id="rId6"/>
    <sheet name="4-DR 401-F-HIGI" sheetId="4" r:id="rId7"/>
    <sheet name="5-AQUILA AT01-F-GRFY" sheetId="16" r:id="rId8"/>
    <sheet name="6-AQUILA AT01-F-HDJR" sheetId="24" r:id="rId9"/>
    <sheet name="7-Cirrus SR22-N576CD " sheetId="8" r:id="rId10"/>
    <sheet name="8-CAP10 182 cv F-GDTF" sheetId="15" r:id="rId11"/>
    <sheet name="9-TB20-F-GNCL" sheetId="26" r:id="rId12"/>
    <sheet name="Feuil1" sheetId="20" state="hidden" r:id="rId13"/>
  </sheets>
  <externalReferences>
    <externalReference r:id="rId14"/>
  </externalReferences>
  <definedNames>
    <definedName name="Autonomie_théorique_06">'4-DR 401-F-HIGI'!$P$9:$Q$14</definedName>
    <definedName name="Autonomie_théorique_07" localSheetId="7">'5-AQUILA AT01-F-GRFY'!$P$9:$Q$14</definedName>
    <definedName name="Autonomie_théorique_08" localSheetId="8">'6-AQUILA AT01-F-HDJR'!$P$9:$Q$14</definedName>
    <definedName name="Autonomie_théorique_08">#REF!</definedName>
    <definedName name="Bagages_01" localSheetId="11">'[1]1-PA18-F-GLLN'!$D$10</definedName>
    <definedName name="Bagages_01">'1-PA18-F-GLLN'!$D$10</definedName>
    <definedName name="Bagages_02" localSheetId="11">'[1]2-Cessna 152-F-GHLU'!$D$10</definedName>
    <definedName name="Bagages_02">'2-Cessna 152-F-GHLU'!$D$10</definedName>
    <definedName name="Bagages_03" localSheetId="11">'[1]3-Cessna 172-F-HAFL'!$D$12</definedName>
    <definedName name="Bagages_03">'3-Cessna 172-F-HAFL'!$D$12</definedName>
    <definedName name="Bagages_06" localSheetId="6">'4-DR 401-F-HIGI'!$D$12</definedName>
    <definedName name="Bagages_07" localSheetId="11">'[1]7-AQUILA AT01-F-GRFY'!$D$10</definedName>
    <definedName name="Bagages_07">'5-AQUILA AT01-F-GRFY'!$D$10</definedName>
    <definedName name="Bagages_08" localSheetId="8">'6-AQUILA AT01-F-HDJR'!$D$10</definedName>
    <definedName name="Bagages_08">#REF!</definedName>
    <definedName name="Bagages_09" localSheetId="11">'[1]9-Cirrus SR22-N576CD '!$D$12</definedName>
    <definedName name="Bagages_09">'7-Cirrus SR22-N576CD '!$D$12</definedName>
    <definedName name="Bagages_10" localSheetId="11">'[1]10-CAP10 182 cv F-GDTF'!$D$10</definedName>
    <definedName name="Bagages_10">'8-CAP10 182 cv F-GDTF'!$D$10</definedName>
    <definedName name="Bagages_11" localSheetId="11">'9-TB20-F-GNCL'!$D$12</definedName>
    <definedName name="Bras_Levier_Atterrissage_01" localSheetId="11">'[1]1-PA18-F-GLLN'!$U$13</definedName>
    <definedName name="Bras_Levier_Atterrissage_01">'1-PA18-F-GLLN'!$U$13</definedName>
    <definedName name="Bras_Levier_Décollage_01" localSheetId="11">'[1]1-PA18-F-GLLN'!$E$13</definedName>
    <definedName name="Bras_Levier_Décollage_01">'1-PA18-F-GLLN'!$E$13</definedName>
    <definedName name="Capacité_carburant_Max_01" localSheetId="3">'1-PA18-F-GLLN'!$N$7</definedName>
    <definedName name="Capacité_carburant_Max_02" localSheetId="4">'2-Cessna 152-F-GHLU'!$N$7</definedName>
    <definedName name="Capacité_carburant_Max_03" localSheetId="5">'3-Cessna 172-F-HAFL'!$N$7</definedName>
    <definedName name="Capacité_carburant_Max_04" localSheetId="11">'[1]4-DR 400-G-BAGR'!$N$7</definedName>
    <definedName name="Capacité_carburant_Max_04">#REF!</definedName>
    <definedName name="Capacité_carburant_Max_06" localSheetId="6">'4-DR 401-F-HIGI'!$N$7</definedName>
    <definedName name="Capacité_carburant_Max_06" localSheetId="10">'4-DR 401-F-HIGI'!$N$7</definedName>
    <definedName name="Capacité_carburant_Max_07" localSheetId="7">'5-AQUILA AT01-F-GRFY'!$N$7</definedName>
    <definedName name="Capacité_carburant_Max_08" localSheetId="8">'6-AQUILA AT01-F-HDJR'!$N$7</definedName>
    <definedName name="Capacité_carburant_Max_09" localSheetId="9">'7-Cirrus SR22-N576CD '!$N$7</definedName>
    <definedName name="Capacité_carburant_Max_10" localSheetId="10">'8-CAP10 182 cv F-GDTF'!$N$7</definedName>
    <definedName name="Capacité_carburant_Max_10" localSheetId="11">'[1]10-CAP10 182 cv F-GDTF'!$N$7</definedName>
    <definedName name="Capacité_carburant_Max_11" localSheetId="11">'9-TB20-F-GNCL'!$N$7</definedName>
    <definedName name="Carburant_Aile_Droite_01" localSheetId="3">'1-PA18-F-GLLN'!$N$8</definedName>
    <definedName name="Carburant_Aile_Droite_02" localSheetId="4">'2-Cessna 152-F-GHLU'!$N$8</definedName>
    <definedName name="Carburant_Aile_Droite_03" localSheetId="5">'3-Cessna 172-F-HAFL'!$N$8</definedName>
    <definedName name="Carburant_Aile_Droite_06" localSheetId="6">'4-DR 401-F-HIGI'!$N$8</definedName>
    <definedName name="Carburant_Aile_Droite_07" localSheetId="11">'[1]7-AQUILA AT01-F-GRFY'!$N$9</definedName>
    <definedName name="Carburant_Aile_Droite_07">'5-AQUILA AT01-F-GRFY'!$N$9</definedName>
    <definedName name="Carburant_Aile_Droite_08" localSheetId="8">'6-AQUILA AT01-F-HDJR'!$N$9</definedName>
    <definedName name="Carburant_Aile_Droite_08">#REF!</definedName>
    <definedName name="Carburant_Aile_Droite_11" localSheetId="11">'9-TB20-F-GNCL'!$N$8</definedName>
    <definedName name="Carburant_Aile_Gauche_01" localSheetId="3">'1-PA18-F-GLLN'!$N$9</definedName>
    <definedName name="Carburant_Aile_Gauche_02" localSheetId="4">'2-Cessna 152-F-GHLU'!$N$9</definedName>
    <definedName name="Carburant_Aile_Gauche_03" localSheetId="5">'3-Cessna 172-F-HAFL'!$N$9</definedName>
    <definedName name="Carburant_Aile_Gauche_06" localSheetId="6">'4-DR 401-F-HIGI'!$N$9</definedName>
    <definedName name="Carburant_Aile_Gauche_07" localSheetId="7">'5-AQUILA AT01-F-GRFY'!$N$8</definedName>
    <definedName name="Carburant_Aile_Gauche_08" localSheetId="8">'6-AQUILA AT01-F-HDJR'!$N$8</definedName>
    <definedName name="Carburant_Aile_Gauche_09" localSheetId="9">'7-Cirrus SR22-N576CD '!$N$8</definedName>
    <definedName name="Carburant_Aile_Gauche_11" localSheetId="11">'9-TB20-F-GNCL'!$N$9</definedName>
    <definedName name="Carburant_AV_Droit_05">'[1]5-DR 400-G-ZIGI'!$N$10</definedName>
    <definedName name="Carburant_AV_Gauche_05">'[1]5-DR 400-G-ZIGI'!$N$11</definedName>
    <definedName name="Carburant_Bloc_01" localSheetId="3">'1-PA18-F-GLLN'!$N$24</definedName>
    <definedName name="Carburant_Bloc_02" localSheetId="4">'2-Cessna 152-F-GHLU'!$N$24</definedName>
    <definedName name="Carburant_Bloc_03" localSheetId="5">'3-Cessna 172-F-HAFL'!$N$24</definedName>
    <definedName name="Carburant_Bloc_04" localSheetId="11">'[1]4-DR 400-G-BAGR'!$N$24</definedName>
    <definedName name="Carburant_Bloc_04">#REF!</definedName>
    <definedName name="Carburant_Bloc_06" localSheetId="6">'4-DR 401-F-HIGI'!$N$24</definedName>
    <definedName name="Carburant_Bloc_06" localSheetId="10">'4-DR 401-F-HIGI'!$N$24</definedName>
    <definedName name="Carburant_Bloc_07" localSheetId="7">'5-AQUILA AT01-F-GRFY'!$N$24</definedName>
    <definedName name="Carburant_Bloc_08" localSheetId="8">'6-AQUILA AT01-F-HDJR'!$N$24</definedName>
    <definedName name="Carburant_Bloc_09" localSheetId="9">'7-Cirrus SR22-N576CD '!$N$24</definedName>
    <definedName name="Carburant_Bloc_10" localSheetId="10">'8-CAP10 182 cv F-GDTF'!$N$24</definedName>
    <definedName name="Carburant_Bloc_10" localSheetId="11">'[1]10-CAP10 182 cv F-GDTF'!$N$25</definedName>
    <definedName name="Carburant_Bloc_11" localSheetId="11">'9-TB20-F-GNCL'!$N$24</definedName>
    <definedName name="Carburant_Destination_01" localSheetId="11">'[1]1-PA18-F-GLLN'!$N$16</definedName>
    <definedName name="Carburant_Destination_01">'1-PA18-F-GLLN'!$N$16</definedName>
    <definedName name="Carburant_Destination_02" localSheetId="11">'[1]2-Cessna 152-F-GHLU'!$N$16</definedName>
    <definedName name="Carburant_Destination_02">'2-Cessna 152-F-GHLU'!$N$16</definedName>
    <definedName name="Carburant_Destination_03" localSheetId="11">'[1]3-Cessna 172-F-HAFL'!$N$16</definedName>
    <definedName name="Carburant_Destination_03">'3-Cessna 172-F-HAFL'!$N$16</definedName>
    <definedName name="Carburant_Destination_04" localSheetId="11">'[1]4-DR 400-G-BAGR'!$N$16</definedName>
    <definedName name="Carburant_Destination_04">#REF!</definedName>
    <definedName name="Carburant_Destination_05">'[1]5-DR 400-G-ZIGI'!$N$18</definedName>
    <definedName name="Carburant_Destination_06" localSheetId="11">'[1]6-DR 401-F-HIGI'!$N$16</definedName>
    <definedName name="Carburant_Destination_06">'4-DR 401-F-HIGI'!$N$16</definedName>
    <definedName name="Carburant_Destination_07" localSheetId="11">'[1]7-AQUILA AT01-F-GRFY'!$N$16</definedName>
    <definedName name="Carburant_Destination_07">'5-AQUILA AT01-F-GRFY'!$N$16</definedName>
    <definedName name="Carburant_Destination_08" localSheetId="8">'6-AQUILA AT01-F-HDJR'!$N$16</definedName>
    <definedName name="Carburant_Destination_08">#REF!</definedName>
    <definedName name="Carburant_Destination_09" localSheetId="11">'[1]9-Cirrus SR22-N576CD '!$N$16</definedName>
    <definedName name="Carburant_Destination_09">'7-Cirrus SR22-N576CD '!$N$16</definedName>
    <definedName name="Carburant_Destination_10" localSheetId="11">'[1]10-CAP10 182 cv F-GDTF'!$N$16</definedName>
    <definedName name="Carburant_Destination_10">'8-CAP10 182 cv F-GDTF'!$N$16</definedName>
    <definedName name="Carburant_Destination_11" localSheetId="11">'9-TB20-F-GNCL'!$N$16</definedName>
    <definedName name="Carburant_Principal_03" localSheetId="5">'3-Cessna 172-F-HAFL'!$N$8</definedName>
    <definedName name="Carburant_Principal_06" localSheetId="6">'4-DR 401-F-HIGI'!$N$8</definedName>
    <definedName name="Carburant_Principal_09" localSheetId="9">'7-Cirrus SR22-N576CD '!$N$8</definedName>
    <definedName name="Carburant_Principal_10" localSheetId="10">'8-CAP10 182 cv F-GDTF'!$N$8</definedName>
    <definedName name="Carburant_Principal_11" localSheetId="11">'9-TB20-F-GNCL'!$N$8</definedName>
    <definedName name="Carburant_Roulage_01" localSheetId="11">'[1]1-PA18-F-GLLN'!$N$22</definedName>
    <definedName name="Carburant_Roulage_01">'1-PA18-F-GLLN'!$N$22</definedName>
    <definedName name="Carburant_Roulage_02" localSheetId="11">'[1]2-Cessna 152-F-GHLU'!$N$22</definedName>
    <definedName name="Carburant_Roulage_02">'2-Cessna 152-F-GHLU'!$N$22</definedName>
    <definedName name="Carburant_Roulage_03" localSheetId="11">'[1]3-Cessna 172-F-HAFL'!$N$22</definedName>
    <definedName name="Carburant_Roulage_03">'3-Cessna 172-F-HAFL'!$N$22</definedName>
    <definedName name="Carburant_Roulage_06" localSheetId="11">'[1]6-DR 401-F-HIGI'!$N$22</definedName>
    <definedName name="Carburant_Roulage_06">'4-DR 401-F-HIGI'!$N$22</definedName>
    <definedName name="Carburant_Roulage_07" localSheetId="11">'[1]7-AQUILA AT01-F-GRFY'!$N$22</definedName>
    <definedName name="Carburant_Roulage_07">'5-AQUILA AT01-F-GRFY'!$N$22</definedName>
    <definedName name="Carburant_Roulage_08" localSheetId="8">'6-AQUILA AT01-F-HDJR'!$N$22</definedName>
    <definedName name="Carburant_Roulage_08">#REF!</definedName>
    <definedName name="Carburant_Roulage_09" localSheetId="11">'[1]9-Cirrus SR22-N576CD '!$N$22</definedName>
    <definedName name="Carburant_Roulage_09">'7-Cirrus SR22-N576CD '!$N$22</definedName>
    <definedName name="Carburant_Roulage_10" localSheetId="11">'[1]10-CAP10 182 cv F-GDTF'!$N$23</definedName>
    <definedName name="Carburant_Roulage_10">'8-CAP10 182 cv F-GDTF'!$N$22</definedName>
    <definedName name="Carburant_Roulage_11" localSheetId="11">'9-TB20-F-GNCL'!$N$22</definedName>
    <definedName name="Carburant_Secondaire_03" localSheetId="5">'3-Cessna 172-F-HAFL'!$N$9</definedName>
    <definedName name="Carburant_Secondaire_05">'[1]5-DR 400-G-ZIGI'!$N$9</definedName>
    <definedName name="Carburant_Secondaire_06" localSheetId="6">'4-DR 401-F-HIGI'!$N$9</definedName>
    <definedName name="Carburant_Secondaire_09" localSheetId="9">'7-Cirrus SR22-N576CD '!$N$9</definedName>
    <definedName name="Carburant_Secondaire_10" localSheetId="10">'8-CAP10 182 cv F-GDTF'!$N$9</definedName>
    <definedName name="Carburant_Secondaire_10">'[1]10-CAP10 182 cv F-GDTF'!$N$9</definedName>
    <definedName name="Carburant_Secondaire_11" localSheetId="11">'9-TB20-F-GNCL'!$N$9</definedName>
    <definedName name="Carburant_utilisable_01" localSheetId="3">'1-PA18-F-GLLN'!$N$10</definedName>
    <definedName name="Carburant_utilisable_02" localSheetId="4">'2-Cessna 152-F-GHLU'!$N$10</definedName>
    <definedName name="Carburant_utilisable_03" localSheetId="5">'3-Cessna 172-F-HAFL'!$N$10</definedName>
    <definedName name="Carburant_utilisable_04" localSheetId="11">'[1]4-DR 400-G-BAGR'!$N$10</definedName>
    <definedName name="Carburant_utilisable_04">#REF!</definedName>
    <definedName name="Carburant_utilisable_06" localSheetId="6">'4-DR 401-F-HIGI'!$N$10</definedName>
    <definedName name="Carburant_utilisable_06" localSheetId="10">'4-DR 401-F-HIGI'!$N$10</definedName>
    <definedName name="Carburant_utilisable_07" localSheetId="7">'5-AQUILA AT01-F-GRFY'!$N$10</definedName>
    <definedName name="Carburant_utilisable_08" localSheetId="8">'6-AQUILA AT01-F-HDJR'!$N$10</definedName>
    <definedName name="Carburant_utilisable_09" localSheetId="9">'7-Cirrus SR22-N576CD '!$N$10</definedName>
    <definedName name="Carburant_utilisable_09" localSheetId="11">'[1]10-CAP10 182 cv F-GDTF'!$N$10</definedName>
    <definedName name="Carburant_utilisable_10" localSheetId="10">'8-CAP10 182 cv F-GDTF'!$N$10</definedName>
    <definedName name="Carburant_utilisable_11" localSheetId="11">'9-TB20-F-GNCL'!$N$10</definedName>
    <definedName name="Catégorie_10" localSheetId="11">'[1]10-CAP10 182 cv F-GDTF'!$E$4</definedName>
    <definedName name="Catégorie_10">'8-CAP10 182 cv F-GDTF'!$E$4</definedName>
    <definedName name="Consommation_horaire_01" localSheetId="11">'[1]1-PA18-F-GLLN'!$N$11</definedName>
    <definedName name="Consommation_horaire_01">'1-PA18-F-GLLN'!$N$11</definedName>
    <definedName name="Consommation_horaire_02" localSheetId="11">'[1]2-Cessna 152-F-GHLU'!$N$11</definedName>
    <definedName name="Consommation_horaire_02">'2-Cessna 152-F-GHLU'!$N$11</definedName>
    <definedName name="Consommation_horaire_03" localSheetId="11">'[1]3-Cessna 172-F-HAFL'!$N$11</definedName>
    <definedName name="Consommation_horaire_03">'3-Cessna 172-F-HAFL'!$N$11</definedName>
    <definedName name="Consommation_horaire_04" localSheetId="11">'[1]4-DR 400-G-BAGR'!$N$11</definedName>
    <definedName name="Consommation_horaire_04">#REF!</definedName>
    <definedName name="Consommation_horaire_05">'[1]5-DR 400-G-ZIGI'!$N$13</definedName>
    <definedName name="Consommation_horaire_06" localSheetId="11">'[1]6-DR 401-F-HIGI'!$N$11</definedName>
    <definedName name="Consommation_horaire_06">'4-DR 401-F-HIGI'!$N$11</definedName>
    <definedName name="Consommation_horaire_07" localSheetId="11">'[1]7-AQUILA AT01-F-GRFY'!$N$11</definedName>
    <definedName name="Consommation_horaire_07">'5-AQUILA AT01-F-GRFY'!$N$11</definedName>
    <definedName name="Consommation_horaire_08" localSheetId="8">'6-AQUILA AT01-F-HDJR'!$N$11</definedName>
    <definedName name="Consommation_horaire_08">#REF!</definedName>
    <definedName name="Consommation_horaire_09" localSheetId="11">'[1]9-Cirrus SR22-N576CD '!$N$11</definedName>
    <definedName name="Consommation_horaire_09">'7-Cirrus SR22-N576CD '!$N$11</definedName>
    <definedName name="Consommation_horaire_10" localSheetId="11">'[1]10-CAP10 182 cv F-GDTF'!$N$11</definedName>
    <definedName name="Consommation_horaire_10">'8-CAP10 182 cv F-GDTF'!$N$11</definedName>
    <definedName name="Consommation_horaire_11" localSheetId="11">'9-TB20-F-GNCL'!$N$11</definedName>
    <definedName name="Consommation_minute_01" localSheetId="3">'1-PA18-F-GLLN'!$N$12</definedName>
    <definedName name="Consommation_minute_02" localSheetId="4">'2-Cessna 152-F-GHLU'!$N$12</definedName>
    <definedName name="Consommation_minute_03" localSheetId="5">'3-Cessna 172-F-HAFL'!$N$12</definedName>
    <definedName name="Consommation_minute_06" localSheetId="6">'4-DR 401-F-HIGI'!$N$12</definedName>
    <definedName name="Consommation_minute_07" localSheetId="7">'5-AQUILA AT01-F-GRFY'!$N$12</definedName>
    <definedName name="Consommation_minute_08" localSheetId="8">'6-AQUILA AT01-F-HDJR'!$N$12</definedName>
    <definedName name="Consommation_minute_09" localSheetId="9">'7-Cirrus SR22-N576CD '!$N$12</definedName>
    <definedName name="Consommation_minute_10" localSheetId="10">'8-CAP10 182 cv F-GDTF'!$N$12</definedName>
    <definedName name="Consommation_minute_11" localSheetId="11">'9-TB20-F-GNCL'!$N$12</definedName>
    <definedName name="Délestage_01" localSheetId="3">'1-PA18-F-GLLN'!$N$18</definedName>
    <definedName name="Délestage_02" localSheetId="4">'2-Cessna 152-F-GHLU'!$N$18</definedName>
    <definedName name="Délestage_03" localSheetId="11">'[1]3-Cessna 172-F-HAFL'!$N$18</definedName>
    <definedName name="Délestage_03">'3-Cessna 172-F-HAFL'!$N$18</definedName>
    <definedName name="Délestage_06" localSheetId="11">'[1]6-DR 401-F-HIGI'!$N$18</definedName>
    <definedName name="Délestage_06">'4-DR 401-F-HIGI'!$N$18</definedName>
    <definedName name="Délestage_07" localSheetId="11">'[1]7-AQUILA AT01-F-GRFY'!$N$18</definedName>
    <definedName name="Délestage_07">'5-AQUILA AT01-F-GRFY'!$N$18</definedName>
    <definedName name="Délestage_08" localSheetId="8">'6-AQUILA AT01-F-HDJR'!$N$18</definedName>
    <definedName name="Délestage_08">#REF!</definedName>
    <definedName name="Délestage_09" localSheetId="11">'[1]9-Cirrus SR22-N576CD '!$N$18</definedName>
    <definedName name="Délestage_09">'7-Cirrus SR22-N576CD '!$N$18</definedName>
    <definedName name="Délestage_10" localSheetId="11">'[1]10-CAP10 182 cv F-GDTF'!$N$18</definedName>
    <definedName name="Délestage_10">'8-CAP10 182 cv F-GDTF'!$N$18</definedName>
    <definedName name="Délestage_11" localSheetId="11">'9-TB20-F-GNCL'!$N$18</definedName>
    <definedName name="Densité_Carburant_01" localSheetId="3">'1-PA18-F-GLLN'!$N$6</definedName>
    <definedName name="Densité_Carburant_02" localSheetId="4">'2-Cessna 152-F-GHLU'!$N$6</definedName>
    <definedName name="Densité_Carburant_03" localSheetId="5">'3-Cessna 172-F-HAFL'!$N$6</definedName>
    <definedName name="Densité_Carburant_06" localSheetId="6">'4-DR 401-F-HIGI'!$N$6</definedName>
    <definedName name="Densité_Carburant_07" localSheetId="7">'5-AQUILA AT01-F-GRFY'!$N$6</definedName>
    <definedName name="Densité_Carburant_08" localSheetId="8">'6-AQUILA AT01-F-HDJR'!$N$6</definedName>
    <definedName name="Densité_Carburant_09" localSheetId="9">'7-Cirrus SR22-N576CD '!$N$6</definedName>
    <definedName name="Densité_Carburant_10" localSheetId="10">'8-CAP10 182 cv F-GDTF'!$N$6</definedName>
    <definedName name="Densité_Carburant_11" localSheetId="11">'9-TB20-F-GNCL'!$N$6</definedName>
    <definedName name="Durée_Totale_Vol_01" localSheetId="3">'1-PA18-F-GLLN'!$K$17</definedName>
    <definedName name="Durée_Totale_Vol_02" localSheetId="4">'2-Cessna 152-F-GHLU'!$K$7</definedName>
    <definedName name="Durée_Totale_Vol_03" localSheetId="5">'3-Cessna 172-F-HAFL'!$K$7</definedName>
    <definedName name="Durée_Totale_Vol_06" localSheetId="6">'4-DR 401-F-HIGI'!$K$17</definedName>
    <definedName name="Durée_Totale_Vol_07" localSheetId="7">'5-AQUILA AT01-F-GRFY'!$K$16</definedName>
    <definedName name="Durée_Totale_Vol_08" localSheetId="8">'6-AQUILA AT01-F-HDJR'!$K$16</definedName>
    <definedName name="Durée_Totale_Vol_09" localSheetId="9">'7-Cirrus SR22-N576CD '!$K$8</definedName>
    <definedName name="Durée_Totale_Vol_10" localSheetId="10">'8-CAP10 182 cv F-GDTF'!$K$16</definedName>
    <definedName name="Durée_Totale_Vol_11" localSheetId="11">'9-TB20-F-GNCL'!$K$8</definedName>
    <definedName name="Masse_à_vide_01" localSheetId="11">'[1]1-PA18-F-GLLN'!$D$7</definedName>
    <definedName name="Masse_à_vide_01">'1-PA18-F-GLLN'!$D$7</definedName>
    <definedName name="Masse_à_vide_02" localSheetId="4">'2-Cessna 152-F-GHLU'!$D$7</definedName>
    <definedName name="Masse_à_vide_03" localSheetId="5">'3-Cessna 172-F-HAFL'!$D$7</definedName>
    <definedName name="Masse_à_vide_04" localSheetId="11">'[1]4-DR 400-G-BAGR'!$D$7</definedName>
    <definedName name="Masse_à_vide_04">#REF!</definedName>
    <definedName name="Masse_à_vide_05">'[1]5-DR 400-G-ZIGI'!$D$7</definedName>
    <definedName name="Masse_à_vide_06" localSheetId="11">'[1]6-DR 401-F-HIGI'!$D$7</definedName>
    <definedName name="Masse_à_vide_06">'4-DR 401-F-HIGI'!$D$7</definedName>
    <definedName name="Masse_à_vide_07" localSheetId="11">'[1]7-AQUILA AT01-F-GRFY'!$D$7</definedName>
    <definedName name="Masse_à_vide_07">'5-AQUILA AT01-F-GRFY'!$D$7</definedName>
    <definedName name="Masse_à_vide_08" localSheetId="8">'6-AQUILA AT01-F-HDJR'!$D$7</definedName>
    <definedName name="Masse_à_vide_08">#REF!</definedName>
    <definedName name="Masse_à_vide_09" localSheetId="9">'7-Cirrus SR22-N576CD '!$D$7</definedName>
    <definedName name="Masse_à_vide_10" localSheetId="11">'[1]10-CAP10 182 cv F-GDTF'!$D$7</definedName>
    <definedName name="Masse_à_vide_10">'8-CAP10 182 cv F-GDTF'!$D$7</definedName>
    <definedName name="Masse_à_vide_11" localSheetId="11">'9-TB20-F-GNCL'!$D$7</definedName>
    <definedName name="Masse_Atterrissage_01" localSheetId="11">'[1]1-PA18-F-GLLN'!$T$13</definedName>
    <definedName name="Masse_Atterrissage_01">'1-PA18-F-GLLN'!$T$13</definedName>
    <definedName name="Masse_Atterrissage_02" localSheetId="11">'[1]2-Cessna 152-F-GHLU'!$T$13</definedName>
    <definedName name="Masse_Atterrissage_02">'2-Cessna 152-F-GHLU'!$T$13</definedName>
    <definedName name="Masse_Atterrissage_03" localSheetId="11">'[1]3-Cessna 172-F-HAFL'!$T$13</definedName>
    <definedName name="Masse_Atterrissage_03">'3-Cessna 172-F-HAFL'!$T$13</definedName>
    <definedName name="Masse_Atterrissage_04" localSheetId="11">'[1]4-DR 400-G-BAGR'!$T$14</definedName>
    <definedName name="Masse_Atterrissage_04">#REF!</definedName>
    <definedName name="Masse_Atterrissage_05">'[1]5-DR 400-G-ZIGI'!$T$15</definedName>
    <definedName name="Masse_Atterrissage_06" localSheetId="11">'[1]6-DR 401-F-HIGI'!$T$14</definedName>
    <definedName name="Masse_Atterrissage_06">'4-DR 401-F-HIGI'!$T$14</definedName>
    <definedName name="Masse_Atterrissage_07" localSheetId="11">'[1]7-AQUILA AT01-F-GRFY'!$T$13</definedName>
    <definedName name="Masse_Atterrissage_07">'5-AQUILA AT01-F-GRFY'!$T$13</definedName>
    <definedName name="Masse_Atterrissage_08" localSheetId="8">'6-AQUILA AT01-F-HDJR'!$T$13</definedName>
    <definedName name="Masse_Atterrissage_08">#REF!</definedName>
    <definedName name="Masse_Atterrissage_09" localSheetId="11">'[1]9-Cirrus SR22-N576CD '!$U$13</definedName>
    <definedName name="Masse_Atterrissage_09">'7-Cirrus SR22-N576CD '!$U$13</definedName>
    <definedName name="Masse_Atterrissage_10" localSheetId="11">'[1]10-CAP10 182 cv F-GDTF'!$T$14</definedName>
    <definedName name="Masse_Atterrissage_10">'8-CAP10 182 cv F-GDTF'!$T$14</definedName>
    <definedName name="Masse_Atterrissage_11" localSheetId="11">'9-TB20-F-GNCL'!$U$13</definedName>
    <definedName name="Masse_Déco_Atterro_07" localSheetId="7">'5-AQUILA AT01-F-GRFY'!$P$23:$Q$25</definedName>
    <definedName name="Masse_Déco_Atterro_08" localSheetId="8">'6-AQUILA AT01-F-HDJR'!$P$23:$Q$25</definedName>
    <definedName name="Masse_Déco_Atterro_08">#REF!</definedName>
    <definedName name="Masse_Décollage_01" localSheetId="3">'1-PA18-F-GLLN'!$D$13</definedName>
    <definedName name="Masse_Décollage_02" localSheetId="4">'2-Cessna 152-F-GHLU'!$D$13</definedName>
    <definedName name="Masse_Décollage_03" localSheetId="5">'3-Cessna 172-F-HAFL'!$D$15</definedName>
    <definedName name="Masse_Décollage_06" localSheetId="6">'4-DR 401-F-HIGI'!$D$15</definedName>
    <definedName name="Masse_Décollage_07" localSheetId="7">'5-AQUILA AT01-F-GRFY'!$D$12</definedName>
    <definedName name="Masse_Décollage_08" localSheetId="8">'6-AQUILA AT01-F-HDJR'!$D$12</definedName>
    <definedName name="Masse_Décollage_09" localSheetId="9">'7-Cirrus SR22-N576CD '!$D$14</definedName>
    <definedName name="Masse_Décollage_10" localSheetId="10">'8-CAP10 182 cv F-GDTF'!$D$13</definedName>
    <definedName name="Masse_Décollage_11" localSheetId="11">'9-TB20-F-GNCL'!$D$14</definedName>
    <definedName name="Masse_Max_Atterrissage_Autorisée_10" localSheetId="11">'[1]10-CAP10 182 cv F-GDTF'!$C$22</definedName>
    <definedName name="Masse_Max_Atterrissage_Autorisée_10">'8-CAP10 182 cv F-GDTF'!$C$22</definedName>
    <definedName name="Masse_Max_au_Décollage_Autorisée_10" localSheetId="11">'[1]10-CAP10 182 cv F-GDTF'!$C$21</definedName>
    <definedName name="Masse_Max_au_Décollage_Autorisée_10">'8-CAP10 182 cv F-GDTF'!$C$21</definedName>
    <definedName name="Masse_Max_Décollage_01" localSheetId="11">'[1]1-PA18-F-GLLN'!$C$20</definedName>
    <definedName name="Masse_Max_Décollage_01">'1-PA18-F-GLLN'!$C$20</definedName>
    <definedName name="Masse_Max_Décollage_02" localSheetId="11">'[1]2-Cessna 152-F-GHLU'!$C$20</definedName>
    <definedName name="Masse_Max_Décollage_02">'2-Cessna 152-F-GHLU'!$C$20</definedName>
    <definedName name="Masse_Max_Décollage_03" localSheetId="11">'[1]3-Cessna 172-F-HAFL'!$C$22</definedName>
    <definedName name="Masse_Max_Décollage_03">'3-Cessna 172-F-HAFL'!$C$22</definedName>
    <definedName name="Masse_Max_Décollage_04" localSheetId="11">'[1]4-DR 400-G-BAGR'!$C$22</definedName>
    <definedName name="Masse_Max_Décollage_04">#REF!</definedName>
    <definedName name="Masse_Max_Décollage_05">'[1]5-DR 400-G-ZIGI'!$C$23</definedName>
    <definedName name="Masse_Max_Décollage_06" localSheetId="11">'[1]6-DR 401-F-HIGI'!$C$22</definedName>
    <definedName name="Masse_Max_Décollage_06">'4-DR 401-F-HIGI'!$C$22</definedName>
    <definedName name="Masse_Max_Décollage_07" localSheetId="11">'[1]7-AQUILA AT01-F-GRFY'!$C$19</definedName>
    <definedName name="Masse_Max_Décollage_07">'5-AQUILA AT01-F-GRFY'!$C$19</definedName>
    <definedName name="Masse_Max_Décollage_08" localSheetId="8">'6-AQUILA AT01-F-HDJR'!$C$19</definedName>
    <definedName name="Masse_Max_Décollage_08">#REF!</definedName>
    <definedName name="Masse_Max_Décollage_09" localSheetId="11">'[1]9-Cirrus SR22-N576CD '!$C$21</definedName>
    <definedName name="Masse_Max_Décollage_09">'7-Cirrus SR22-N576CD '!$C$21</definedName>
    <definedName name="Masse_Max_Décollage_10">'8-CAP10 182 cv F-GDTF'!$C$21</definedName>
    <definedName name="Masse_Max_Décollage_11" localSheetId="11">'9-TB20-F-GNCL'!$C$21</definedName>
    <definedName name="Moment_Atterrissage_01" localSheetId="11">'[1]1-PA18-F-GLLN'!$V$13</definedName>
    <definedName name="Moment_Atterrissage_01">'1-PA18-F-GLLN'!$V$13</definedName>
    <definedName name="Moment_Atterrissage_02" localSheetId="4">'2-Cessna 152-F-GHLU'!$V$13</definedName>
    <definedName name="Moment_Atterrissage_03" localSheetId="5">'3-Cessna 172-F-HAFL'!$V$13</definedName>
    <definedName name="Moment_Atterrissage_05">'[1]5-DR 400-G-ZIGI'!$V$15</definedName>
    <definedName name="Moment_Atterrissage_06" localSheetId="11">'[1]6-DR 401-F-HIGI'!$V$14</definedName>
    <definedName name="Moment_Atterrissage_06">'4-DR 401-F-HIGI'!$V$14</definedName>
    <definedName name="Moment_Atterrissage_07" localSheetId="7">'5-AQUILA AT01-F-GRFY'!$V$13</definedName>
    <definedName name="Moment_Atterrissage_08" localSheetId="8">'6-AQUILA AT01-F-HDJR'!$V$13</definedName>
    <definedName name="Moment_Atterrissage_08">#REF!</definedName>
    <definedName name="Moment_Atterrissage_09" localSheetId="11">'[1]9-Cirrus SR22-N576CD '!$W$13</definedName>
    <definedName name="Moment_Atterrissage_09">'7-Cirrus SR22-N576CD '!$W$13</definedName>
    <definedName name="Moment_Atterrissage_10" localSheetId="11">'[1]10-CAP10 182 cv F-GDTF'!$V$14</definedName>
    <definedName name="Moment_Atterrissage_10">'8-CAP10 182 cv F-GDTF'!$V$14</definedName>
    <definedName name="Moment_Atterrissage_11" localSheetId="11">'9-TB20-F-GNCL'!$W$13</definedName>
    <definedName name="Moment_Décollage_01" localSheetId="3">'1-PA18-F-GLLN'!$F$13</definedName>
    <definedName name="Moment_Décollage_02" localSheetId="4">'2-Cessna 152-F-GHLU'!$F$13</definedName>
    <definedName name="Moment_Décollage_03" localSheetId="5">'3-Cessna 172-F-HAFL'!$F$15</definedName>
    <definedName name="Moment_Décollage_06" localSheetId="6">'4-DR 401-F-HIGI'!$F$15</definedName>
    <definedName name="Moment_Décollage_07" localSheetId="7">'5-AQUILA AT01-F-GRFY'!$F$12</definedName>
    <definedName name="Moment_Décollage_08" localSheetId="8">'6-AQUILA AT01-F-HDJR'!$F$12</definedName>
    <definedName name="Moment_Décollage_09" localSheetId="9">'7-Cirrus SR22-N576CD '!$F$14</definedName>
    <definedName name="Moment_Décollage_10" localSheetId="10">'8-CAP10 182 cv F-GDTF'!$F$13</definedName>
    <definedName name="Moment_Décollage_11" localSheetId="11">'9-TB20-F-GNCL'!$F$14</definedName>
    <definedName name="Nbre_Aérodromes_01" localSheetId="3">'1-PA18-F-GLLN'!$K$18</definedName>
    <definedName name="Nbre_Aérodromes_02" localSheetId="4">'2-Cessna 152-F-GHLU'!$K$8</definedName>
    <definedName name="Nbre_Aérodromes_03" localSheetId="5">'3-Cessna 172-F-HAFL'!$K$8</definedName>
    <definedName name="Nbre_Aérodromes_06" localSheetId="6">'4-DR 401-F-HIGI'!$K$18</definedName>
    <definedName name="Nbre_Aérodromes_07" localSheetId="7">'5-AQUILA AT01-F-GRFY'!$K$17</definedName>
    <definedName name="Nbre_Aérodromes_08" localSheetId="8">'6-AQUILA AT01-F-HDJR'!$K$17</definedName>
    <definedName name="Nbre_Aérodromes_09" localSheetId="9">'7-Cirrus SR22-N576CD '!$K$9</definedName>
    <definedName name="Nbre_Aérodromes_10" localSheetId="10">'8-CAP10 182 cv F-GDTF'!$K$17</definedName>
    <definedName name="Nbre_Aérodromes_11" localSheetId="11">'9-TB20-F-GNCL'!$K$9</definedName>
    <definedName name="Pourc_MAC_Atterrissage_10" localSheetId="11">'[1]10-CAP10 182 cv F-GDTF'!$I$12</definedName>
    <definedName name="Pourc_MAC_Atterrissage_10">'8-CAP10 182 cv F-GDTF'!$I$12</definedName>
    <definedName name="Pourc_MAC_Décollage_10" localSheetId="11">'[1]10-CAP10 182 cv F-GDTF'!$I$11</definedName>
    <definedName name="Pourc_MAC_Décollage_10">'8-CAP10 182 cv F-GDTF'!$I$11</definedName>
    <definedName name="Print_Area" localSheetId="3">'1-PA18-F-GLLN'!$B$1:$N$46</definedName>
    <definedName name="Print_Area" localSheetId="4">'2-Cessna 152-F-GHLU'!$B$1:$N$50</definedName>
    <definedName name="Print_Area" localSheetId="5">'3-Cessna 172-F-HAFL'!$B$1:$N$48</definedName>
    <definedName name="Print_Area" localSheetId="6">'4-DR 401-F-HIGI'!$B$1:$N$46</definedName>
    <definedName name="Print_Area" localSheetId="7">'5-AQUILA AT01-F-GRFY'!$B$1:$N$43</definedName>
    <definedName name="Print_Area" localSheetId="8">'6-AQUILA AT01-F-HDJR'!$B$1:$N$43</definedName>
    <definedName name="Print_Area" localSheetId="9">'7-Cirrus SR22-N576CD '!$B$1:$N$49</definedName>
    <definedName name="Print_Area" localSheetId="10">'8-CAP10 182 cv F-GDTF'!$B$1:$N$46</definedName>
    <definedName name="Print_Area" localSheetId="11">'9-TB20-F-GNCL'!$B$1:$N$49</definedName>
    <definedName name="Print_Area" localSheetId="0">'A LIRE AVANT UTILISATION'!$B$1:$R$31</definedName>
    <definedName name="Print_Area" localSheetId="1">'Gestion carburant'!$A$1:$T$42</definedName>
    <definedName name="Réserve_Finale_01" localSheetId="11">'[1]1-PA18-F-GLLN'!$N$20</definedName>
    <definedName name="Réserve_Finale_01">'1-PA18-F-GLLN'!$N$20</definedName>
    <definedName name="Réserve_Finale_02" localSheetId="11">'[1]2-Cessna 152-F-GHLU'!$N$20</definedName>
    <definedName name="Réserve_Finale_02">'2-Cessna 152-F-GHLU'!$N$20</definedName>
    <definedName name="Réserve_Finale_03" localSheetId="11">'[1]3-Cessna 172-F-HAFL'!$N$20</definedName>
    <definedName name="Réserve_Finale_03">'3-Cessna 172-F-HAFL'!$N$20</definedName>
    <definedName name="Réserve_Finale_04" localSheetId="11">'[1]4-DR 400-G-BAGR'!$N$20</definedName>
    <definedName name="Réserve_Finale_04">#REF!</definedName>
    <definedName name="Réserve_Finale_05">'[1]5-DR 400-G-ZIGI'!$N$22</definedName>
    <definedName name="Réserve_Finale_06" localSheetId="11">'[1]6-DR 401-F-HIGI'!$N$20</definedName>
    <definedName name="Réserve_Finale_06">'4-DR 401-F-HIGI'!$N$20</definedName>
    <definedName name="Réserve_Finale_07" localSheetId="11">'[1]7-AQUILA AT01-F-GRFY'!$N$20</definedName>
    <definedName name="Réserve_Finale_07">'5-AQUILA AT01-F-GRFY'!$N$20</definedName>
    <definedName name="Réserve_Finale_08" localSheetId="8">'6-AQUILA AT01-F-HDJR'!$N$20</definedName>
    <definedName name="Réserve_Finale_08">#REF!</definedName>
    <definedName name="Réserve_Finale_09" localSheetId="11">'[1]9-Cirrus SR22-N576CD '!$N$20</definedName>
    <definedName name="Réserve_Finale_09">'7-Cirrus SR22-N576CD '!$N$20</definedName>
    <definedName name="Réserve_Finale_10" localSheetId="11">'[1]10-CAP10 182 cv F-GDTF'!$N$20</definedName>
    <definedName name="Réserve_Finale_10">'8-CAP10 182 cv F-GDTF'!$N$20</definedName>
    <definedName name="Réserve_Finale_11" localSheetId="11">'9-TB20-F-GNCL'!$N$20</definedName>
    <definedName name="Tableau_Moment_Atterrissage_07" localSheetId="7">'5-AQUILA AT01-F-GRFY'!$R$7:$V$13</definedName>
    <definedName name="Tableau_Moment_Atterrissage_08" localSheetId="8">'6-AQUILA AT01-F-HDJR'!$R$7:$V$13</definedName>
    <definedName name="Tableau_Moment_Atterrissage_08">#REF!</definedName>
    <definedName name="Valeur_à_convertir" localSheetId="11">[1]Convertisseur!$F$3</definedName>
    <definedName name="Valeur_à_convertir">Convertisseur!$F$3</definedName>
    <definedName name="_xlnm.Print_Area" localSheetId="3">'1-PA18-F-GLLN'!$A$1:$N$55</definedName>
    <definedName name="_xlnm.Print_Area" localSheetId="4">'2-Cessna 152-F-GHLU'!$A$1:$N$55</definedName>
    <definedName name="_xlnm.Print_Area" localSheetId="5">'3-Cessna 172-F-HAFL'!$A$1:$N$54</definedName>
    <definedName name="_xlnm.Print_Area" localSheetId="6">'4-DR 401-F-HIGI'!$A$1:$N$55</definedName>
    <definedName name="_xlnm.Print_Area" localSheetId="7">'5-AQUILA AT01-F-GRFY'!$A$1:$N$57</definedName>
    <definedName name="_xlnm.Print_Area" localSheetId="8">'6-AQUILA AT01-F-HDJR'!$A$1:$N$57</definedName>
    <definedName name="_xlnm.Print_Area" localSheetId="9">'7-Cirrus SR22-N576CD '!$A$1:$N$49</definedName>
    <definedName name="_xlnm.Print_Area" localSheetId="10">'8-CAP10 182 cv F-GDTF'!$A$1:$N$50</definedName>
    <definedName name="_xlnm.Print_Area" localSheetId="11">'9-TB20-F-GNCL'!$A$1:$N$49</definedName>
    <definedName name="_xlnm.Print_Area" localSheetId="2">Convertisseur!$A$1:$K$32</definedName>
    <definedName name="_xlnm.Print_Area" localSheetId="1">'Gestion carburant'!$A$1:$T$59</definedName>
    <definedName name="Zone_d_impression_01" localSheetId="3">'1-PA18-F-GLLN'!$B$1:$N$46</definedName>
    <definedName name="Zone_d_impression_02" localSheetId="4">'2-Cessna 152-F-GHLU'!$B$1:$N$46</definedName>
    <definedName name="Zone_d_impression_03" localSheetId="5">'3-Cessna 172-F-HAFL'!$B$1:$N$46</definedName>
    <definedName name="Zone_d_impression_06" localSheetId="6">'4-DR 401-F-HIGI'!$B$1:$N$46</definedName>
    <definedName name="Zone_d_impression_07" localSheetId="7">'5-AQUILA AT01-F-GRFY'!$B$1:$N$46</definedName>
    <definedName name="Zone_d_impression_07" localSheetId="8">'6-AQUILA AT01-F-HDJR'!$B$1:$N$46</definedName>
    <definedName name="Zone_d_impression_09" localSheetId="9">'7-Cirrus SR22-N576CD '!$B$1:$N$47</definedName>
    <definedName name="Zone_d_impression_10" localSheetId="10">'8-CAP10 182 cv F-GDTF'!$B$1:$N$46</definedName>
    <definedName name="Zone_d_impression_11" localSheetId="11">'9-TB20-F-GNCL'!$B$1:$N$47</definedName>
    <definedName name="Zone_d_impression_Intro" localSheetId="0">'A LIRE AVANT UTILISATION'!$A$1:$Q$38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5" i="16" l="1"/>
  <c r="N10" i="16"/>
  <c r="M15" i="4"/>
  <c r="M15" i="11"/>
  <c r="M13" i="11"/>
  <c r="F10" i="26"/>
  <c r="Q51" i="26"/>
  <c r="Q50" i="26"/>
  <c r="Q45" i="26"/>
  <c r="R44" i="26"/>
  <c r="R47" i="26" s="1"/>
  <c r="S37" i="26"/>
  <c r="S36" i="26"/>
  <c r="S35" i="26"/>
  <c r="S34" i="26"/>
  <c r="S33" i="26"/>
  <c r="Q30" i="26"/>
  <c r="Q29" i="26"/>
  <c r="M24" i="26"/>
  <c r="N22" i="26"/>
  <c r="M21" i="26"/>
  <c r="U18" i="26"/>
  <c r="W18" i="26" s="1"/>
  <c r="V18" i="26" s="1"/>
  <c r="K17" i="26"/>
  <c r="D17" i="26"/>
  <c r="U16" i="26"/>
  <c r="W16" i="26" s="1"/>
  <c r="V16" i="26" s="1"/>
  <c r="K16" i="26"/>
  <c r="J16" i="26"/>
  <c r="D16" i="26"/>
  <c r="K15" i="26"/>
  <c r="J15" i="26"/>
  <c r="M14" i="26"/>
  <c r="K14" i="26"/>
  <c r="K13" i="26"/>
  <c r="C13" i="26"/>
  <c r="C14" i="26" s="1"/>
  <c r="B15" i="26" s="1"/>
  <c r="V12" i="26"/>
  <c r="S12" i="26"/>
  <c r="N12" i="26"/>
  <c r="N16" i="26" s="1"/>
  <c r="K12" i="26"/>
  <c r="F12" i="26"/>
  <c r="V11" i="26"/>
  <c r="U11" i="26"/>
  <c r="W11" i="26" s="1"/>
  <c r="F11" i="26"/>
  <c r="V10" i="26"/>
  <c r="U10" i="26"/>
  <c r="W10" i="26" s="1"/>
  <c r="Q10" i="26"/>
  <c r="H10" i="26"/>
  <c r="V9" i="26"/>
  <c r="U9" i="26"/>
  <c r="W9" i="26" s="1"/>
  <c r="F9" i="26"/>
  <c r="V8" i="26"/>
  <c r="W8" i="26" s="1"/>
  <c r="U8" i="26"/>
  <c r="F8" i="26"/>
  <c r="S7" i="26"/>
  <c r="N7" i="26"/>
  <c r="M13" i="26" s="1"/>
  <c r="H7" i="26"/>
  <c r="F7" i="26"/>
  <c r="H5" i="26"/>
  <c r="I2" i="26"/>
  <c r="D13" i="26" l="1"/>
  <c r="D14" i="26" s="1"/>
  <c r="N10" i="26"/>
  <c r="T19" i="26" s="1"/>
  <c r="R36" i="26"/>
  <c r="R35" i="26"/>
  <c r="R34" i="26"/>
  <c r="R33" i="26"/>
  <c r="R37" i="26"/>
  <c r="N17" i="26"/>
  <c r="N18" i="26" s="1"/>
  <c r="N24" i="26" s="1"/>
  <c r="N20" i="26"/>
  <c r="F16" i="26" l="1"/>
  <c r="H20" i="26"/>
  <c r="M4" i="26"/>
  <c r="J18" i="26"/>
  <c r="Q25" i="26"/>
  <c r="S38" i="26"/>
  <c r="F13" i="26"/>
  <c r="B18" i="26"/>
  <c r="D21" i="26"/>
  <c r="D23" i="26" s="1"/>
  <c r="T12" i="26"/>
  <c r="N27" i="26"/>
  <c r="N26" i="26"/>
  <c r="N23" i="26"/>
  <c r="F14" i="26" l="1"/>
  <c r="G25" i="26" s="1"/>
  <c r="I18" i="26"/>
  <c r="K18" i="26" s="1"/>
  <c r="Q39" i="26"/>
  <c r="E14" i="26"/>
  <c r="R39" i="26" s="1"/>
  <c r="R38" i="26"/>
  <c r="E21" i="26"/>
  <c r="F17" i="26"/>
  <c r="M15" i="26"/>
  <c r="Q11" i="26"/>
  <c r="N25" i="26"/>
  <c r="Q18" i="26"/>
  <c r="D22" i="26"/>
  <c r="E22" i="26" s="1"/>
  <c r="S39" i="26" l="1"/>
  <c r="Q19" i="26"/>
  <c r="Q20" i="26" s="1"/>
  <c r="Q12" i="26"/>
  <c r="U12" i="26"/>
  <c r="T13" i="26"/>
  <c r="S14" i="26"/>
  <c r="T19" i="4"/>
  <c r="T17" i="4"/>
  <c r="T18" i="16"/>
  <c r="T16" i="16"/>
  <c r="T16" i="24"/>
  <c r="U18" i="8"/>
  <c r="T18" i="15"/>
  <c r="N10" i="15"/>
  <c r="C12" i="15"/>
  <c r="N7" i="15"/>
  <c r="W12" i="26" l="1"/>
  <c r="W13" i="26" s="1"/>
  <c r="U13" i="26"/>
  <c r="Q13" i="26"/>
  <c r="Q21" i="26"/>
  <c r="Q22" i="26" s="1"/>
  <c r="S21" i="15"/>
  <c r="Q29" i="24"/>
  <c r="Q28" i="24"/>
  <c r="N10" i="24"/>
  <c r="M15" i="24" s="1"/>
  <c r="N12" i="24"/>
  <c r="N20" i="24"/>
  <c r="N16" i="24"/>
  <c r="N17" i="24"/>
  <c r="N18" i="24" s="1"/>
  <c r="N22" i="24"/>
  <c r="T8" i="24"/>
  <c r="T9" i="24"/>
  <c r="T10" i="24"/>
  <c r="T11" i="24"/>
  <c r="C11" i="24"/>
  <c r="C12" i="24" s="1"/>
  <c r="B13" i="24" s="1"/>
  <c r="M24" i="24"/>
  <c r="M21" i="24"/>
  <c r="N7" i="24"/>
  <c r="M13" i="24" s="1"/>
  <c r="T18" i="24"/>
  <c r="V18" i="24" s="1"/>
  <c r="U18" i="24" s="1"/>
  <c r="F7" i="24"/>
  <c r="F8" i="24"/>
  <c r="F9" i="24"/>
  <c r="F10" i="24"/>
  <c r="V16" i="24"/>
  <c r="U16" i="24" s="1"/>
  <c r="Q10" i="24"/>
  <c r="D15" i="24"/>
  <c r="M14" i="24"/>
  <c r="H14" i="24"/>
  <c r="D14" i="24"/>
  <c r="U8" i="24"/>
  <c r="V8" i="24"/>
  <c r="U9" i="24"/>
  <c r="V9" i="24"/>
  <c r="U10" i="24"/>
  <c r="V10" i="24"/>
  <c r="U11" i="24"/>
  <c r="V11" i="24"/>
  <c r="U12" i="24"/>
  <c r="H13" i="24"/>
  <c r="J10" i="24"/>
  <c r="K10" i="24" s="1"/>
  <c r="J9" i="24"/>
  <c r="K9" i="24" s="1"/>
  <c r="J8" i="24"/>
  <c r="K8" i="24" s="1"/>
  <c r="R7" i="24"/>
  <c r="I7" i="24"/>
  <c r="J7" i="24"/>
  <c r="K7" i="24" s="1"/>
  <c r="H5" i="24"/>
  <c r="I2" i="24"/>
  <c r="R6" i="15"/>
  <c r="D12" i="15"/>
  <c r="C11" i="15"/>
  <c r="D11" i="15" s="1"/>
  <c r="C21" i="15"/>
  <c r="J8" i="15" s="1"/>
  <c r="T20" i="15"/>
  <c r="V20" i="15" s="1"/>
  <c r="U20" i="15" s="1"/>
  <c r="V18" i="15"/>
  <c r="U18" i="15" s="1"/>
  <c r="U16" i="8"/>
  <c r="W16" i="8" s="1"/>
  <c r="V16" i="8" s="1"/>
  <c r="Q11" i="15"/>
  <c r="Q18" i="15" s="1"/>
  <c r="W18" i="8"/>
  <c r="V18" i="8" s="1"/>
  <c r="N7" i="8"/>
  <c r="N10" i="8" s="1"/>
  <c r="M4" i="8" s="1"/>
  <c r="V18" i="16"/>
  <c r="U18" i="16" s="1"/>
  <c r="N7" i="16"/>
  <c r="T18" i="14"/>
  <c r="W18" i="14" s="1"/>
  <c r="V18" i="14" s="1"/>
  <c r="T16" i="14"/>
  <c r="V16" i="16"/>
  <c r="U16" i="16" s="1"/>
  <c r="N7" i="4"/>
  <c r="V19" i="4"/>
  <c r="U19" i="4" s="1"/>
  <c r="V17" i="4"/>
  <c r="U17" i="4" s="1"/>
  <c r="W16" i="14"/>
  <c r="N7" i="14"/>
  <c r="N10" i="14"/>
  <c r="V16" i="14"/>
  <c r="U16" i="14"/>
  <c r="N7" i="11"/>
  <c r="N10" i="11" s="1"/>
  <c r="M4" i="11" s="1"/>
  <c r="V18" i="11"/>
  <c r="Y18" i="11" s="1"/>
  <c r="X18" i="11" s="1"/>
  <c r="V20" i="11"/>
  <c r="W20" i="11" s="1"/>
  <c r="Y20" i="11"/>
  <c r="X20" i="11" s="1"/>
  <c r="T18" i="13"/>
  <c r="T16" i="13"/>
  <c r="U16" i="13" s="1"/>
  <c r="N7" i="13"/>
  <c r="N10" i="13" s="1"/>
  <c r="S19" i="13" s="1"/>
  <c r="T19" i="13" s="1"/>
  <c r="S16" i="13"/>
  <c r="G22" i="20"/>
  <c r="C22" i="20"/>
  <c r="H21" i="20"/>
  <c r="G21" i="20"/>
  <c r="F21" i="20"/>
  <c r="D21" i="20"/>
  <c r="C21" i="20"/>
  <c r="B21" i="20"/>
  <c r="H20" i="20"/>
  <c r="D20" i="20"/>
  <c r="H19" i="20"/>
  <c r="D19" i="20"/>
  <c r="H18" i="20"/>
  <c r="D18" i="20"/>
  <c r="H17" i="20"/>
  <c r="D17" i="20"/>
  <c r="H16" i="20"/>
  <c r="D16" i="20"/>
  <c r="H15" i="20"/>
  <c r="D15" i="20"/>
  <c r="G12" i="20"/>
  <c r="C12" i="20"/>
  <c r="H11" i="20"/>
  <c r="G11" i="20"/>
  <c r="F11" i="20"/>
  <c r="D11" i="20"/>
  <c r="C11" i="20"/>
  <c r="B11" i="20"/>
  <c r="H10" i="20"/>
  <c r="D10" i="20"/>
  <c r="H9" i="20"/>
  <c r="D9" i="20"/>
  <c r="H8" i="20"/>
  <c r="D8" i="20"/>
  <c r="H7" i="20"/>
  <c r="D7" i="20"/>
  <c r="H6" i="20"/>
  <c r="D6" i="20"/>
  <c r="H5" i="20"/>
  <c r="D5" i="20"/>
  <c r="T37" i="15"/>
  <c r="U37" i="15"/>
  <c r="U36" i="15"/>
  <c r="F7" i="15"/>
  <c r="W35" i="15" s="1"/>
  <c r="U35" i="15"/>
  <c r="W34" i="15"/>
  <c r="T34" i="15"/>
  <c r="U34" i="15" s="1"/>
  <c r="T11" i="15"/>
  <c r="N11" i="15"/>
  <c r="N12" i="15" s="1"/>
  <c r="T8" i="15"/>
  <c r="T10" i="15"/>
  <c r="T9" i="15"/>
  <c r="M24" i="15"/>
  <c r="S25" i="15"/>
  <c r="C22" i="15"/>
  <c r="M21" i="15"/>
  <c r="E10" i="15"/>
  <c r="U11" i="15" s="1"/>
  <c r="U12" i="15"/>
  <c r="U13" i="15"/>
  <c r="U8" i="15"/>
  <c r="V8" i="15"/>
  <c r="U10" i="15"/>
  <c r="V10" i="15" s="1"/>
  <c r="U9" i="15"/>
  <c r="V9" i="15"/>
  <c r="F9" i="15"/>
  <c r="F8" i="15"/>
  <c r="D16" i="15"/>
  <c r="M14" i="15"/>
  <c r="H14" i="15"/>
  <c r="R13" i="15"/>
  <c r="H13" i="15"/>
  <c r="M11" i="15"/>
  <c r="J10" i="15"/>
  <c r="K10" i="15" s="1"/>
  <c r="I10" i="15"/>
  <c r="B10" i="15"/>
  <c r="M9" i="15"/>
  <c r="I9" i="15"/>
  <c r="B9" i="15"/>
  <c r="I8" i="15"/>
  <c r="B8" i="15"/>
  <c r="J7" i="15"/>
  <c r="I7" i="15"/>
  <c r="H6" i="15"/>
  <c r="H5" i="15"/>
  <c r="H4" i="15"/>
  <c r="I2" i="15"/>
  <c r="N12" i="8"/>
  <c r="N16" i="8"/>
  <c r="N18" i="8" s="1"/>
  <c r="N17" i="8"/>
  <c r="N22" i="8"/>
  <c r="N20" i="8"/>
  <c r="V12" i="8"/>
  <c r="U11" i="8"/>
  <c r="W11" i="8" s="1"/>
  <c r="V11" i="8"/>
  <c r="U10" i="8"/>
  <c r="V10" i="8"/>
  <c r="W10" i="8"/>
  <c r="U8" i="8"/>
  <c r="V8" i="8"/>
  <c r="W8" i="8"/>
  <c r="U9" i="8"/>
  <c r="V9" i="8"/>
  <c r="W9" i="8"/>
  <c r="C13" i="8"/>
  <c r="C14" i="8" s="1"/>
  <c r="B15" i="8" s="1"/>
  <c r="F12" i="8"/>
  <c r="F11" i="8"/>
  <c r="F7" i="8"/>
  <c r="F8" i="8"/>
  <c r="F9" i="8"/>
  <c r="F10" i="8"/>
  <c r="S37" i="8"/>
  <c r="R37" i="8"/>
  <c r="S36" i="8"/>
  <c r="R36" i="8"/>
  <c r="S35" i="8"/>
  <c r="R35" i="8"/>
  <c r="S34" i="8"/>
  <c r="R34" i="8"/>
  <c r="S33" i="8"/>
  <c r="R33" i="8" s="1"/>
  <c r="Q30" i="8"/>
  <c r="Q29" i="8"/>
  <c r="M24" i="8"/>
  <c r="M21" i="8"/>
  <c r="K17" i="8"/>
  <c r="D17" i="8"/>
  <c r="K16" i="8"/>
  <c r="D16" i="8"/>
  <c r="K15" i="8"/>
  <c r="Q10" i="8"/>
  <c r="M14" i="8"/>
  <c r="K14" i="8"/>
  <c r="K13" i="8"/>
  <c r="S12" i="8"/>
  <c r="K12" i="8"/>
  <c r="H10" i="8"/>
  <c r="S7" i="8"/>
  <c r="H7" i="8"/>
  <c r="H5" i="8"/>
  <c r="I2" i="8"/>
  <c r="Q29" i="16"/>
  <c r="Q28" i="16"/>
  <c r="N12" i="16"/>
  <c r="N20" i="16"/>
  <c r="N16" i="16"/>
  <c r="N17" i="16"/>
  <c r="N18" i="16" s="1"/>
  <c r="N22" i="16"/>
  <c r="T11" i="16"/>
  <c r="T8" i="16"/>
  <c r="T9" i="16"/>
  <c r="T10" i="16"/>
  <c r="C11" i="16"/>
  <c r="C12" i="16" s="1"/>
  <c r="B13" i="16" s="1"/>
  <c r="M24" i="16"/>
  <c r="M21" i="16"/>
  <c r="F10" i="16"/>
  <c r="F7" i="16"/>
  <c r="I7" i="16" s="1"/>
  <c r="F8" i="16"/>
  <c r="F9" i="16"/>
  <c r="Q10" i="16"/>
  <c r="D15" i="16"/>
  <c r="M14" i="16"/>
  <c r="H14" i="16"/>
  <c r="D14" i="16"/>
  <c r="U12" i="16"/>
  <c r="U11" i="16"/>
  <c r="V11" i="16"/>
  <c r="U8" i="16"/>
  <c r="V8" i="16"/>
  <c r="U9" i="16"/>
  <c r="V9" i="16"/>
  <c r="U10" i="16"/>
  <c r="V10" i="16"/>
  <c r="H13" i="16"/>
  <c r="J10" i="16"/>
  <c r="K10" i="16" s="1"/>
  <c r="J9" i="16"/>
  <c r="K9" i="16" s="1"/>
  <c r="J8" i="16"/>
  <c r="K8" i="16" s="1"/>
  <c r="R7" i="16"/>
  <c r="J7" i="16"/>
  <c r="H5" i="16"/>
  <c r="I2" i="16"/>
  <c r="Q30" i="4"/>
  <c r="Q29" i="4"/>
  <c r="N12" i="4"/>
  <c r="N20" i="4"/>
  <c r="N16" i="4"/>
  <c r="N17" i="4"/>
  <c r="N22" i="4"/>
  <c r="T11" i="4"/>
  <c r="V11" i="4" s="1"/>
  <c r="T9" i="4"/>
  <c r="T10" i="4"/>
  <c r="T8" i="4"/>
  <c r="C13" i="4"/>
  <c r="D13" i="4" s="1"/>
  <c r="F13" i="4" s="1"/>
  <c r="C14" i="4"/>
  <c r="D14" i="4" s="1"/>
  <c r="F14" i="4" s="1"/>
  <c r="M24" i="4"/>
  <c r="M21" i="4"/>
  <c r="F12" i="4"/>
  <c r="F8" i="4"/>
  <c r="F9" i="4"/>
  <c r="F10" i="4"/>
  <c r="F7" i="4"/>
  <c r="F11" i="4"/>
  <c r="D18" i="4"/>
  <c r="D17" i="4"/>
  <c r="Q10" i="4"/>
  <c r="H15" i="4"/>
  <c r="U11" i="4"/>
  <c r="U12" i="4"/>
  <c r="U13" i="4"/>
  <c r="U9" i="4"/>
  <c r="V9" i="4"/>
  <c r="U10" i="4"/>
  <c r="V10" i="4"/>
  <c r="U8" i="4"/>
  <c r="V8" i="4"/>
  <c r="M14" i="4"/>
  <c r="H14" i="4"/>
  <c r="R13" i="4"/>
  <c r="R12" i="4"/>
  <c r="J11" i="4"/>
  <c r="K11" i="4" s="1"/>
  <c r="J10" i="4"/>
  <c r="K10" i="4" s="1"/>
  <c r="J9" i="4"/>
  <c r="K9" i="4"/>
  <c r="K8" i="4"/>
  <c r="R7" i="4"/>
  <c r="J7" i="4"/>
  <c r="K7" i="4" s="1"/>
  <c r="H5" i="4"/>
  <c r="I2" i="4"/>
  <c r="C14" i="13"/>
  <c r="C15" i="13" s="1"/>
  <c r="B16" i="13" s="1"/>
  <c r="F10" i="13"/>
  <c r="F11" i="13"/>
  <c r="F12" i="13"/>
  <c r="F7" i="13"/>
  <c r="F8" i="13"/>
  <c r="F9" i="13"/>
  <c r="F13" i="13"/>
  <c r="N12" i="13"/>
  <c r="N17" i="13"/>
  <c r="N16" i="13"/>
  <c r="N22" i="13"/>
  <c r="N59" i="13"/>
  <c r="N58" i="13"/>
  <c r="N20" i="13"/>
  <c r="T8" i="13"/>
  <c r="V8" i="13" s="1"/>
  <c r="T11" i="13"/>
  <c r="T10" i="13"/>
  <c r="T9" i="13"/>
  <c r="U12" i="13"/>
  <c r="U8" i="13"/>
  <c r="U11" i="13"/>
  <c r="V11" i="13"/>
  <c r="U10" i="13"/>
  <c r="V10" i="13"/>
  <c r="U9" i="13"/>
  <c r="V9" i="13"/>
  <c r="D13" i="13"/>
  <c r="M24" i="13"/>
  <c r="K24" i="13"/>
  <c r="K23" i="13"/>
  <c r="J15" i="13" s="1"/>
  <c r="K22" i="13"/>
  <c r="J14" i="13" s="1"/>
  <c r="M21" i="13"/>
  <c r="K20" i="13"/>
  <c r="D18" i="13"/>
  <c r="D17" i="13"/>
  <c r="K16" i="13"/>
  <c r="J16" i="13"/>
  <c r="K15" i="13"/>
  <c r="Q10" i="13"/>
  <c r="M14" i="13"/>
  <c r="K14" i="13"/>
  <c r="J13" i="13"/>
  <c r="E13" i="13"/>
  <c r="K12" i="13"/>
  <c r="J12" i="13"/>
  <c r="H10" i="13"/>
  <c r="H9" i="13"/>
  <c r="R7" i="13"/>
  <c r="S6" i="13"/>
  <c r="S5" i="13"/>
  <c r="H5" i="13"/>
  <c r="I2" i="13"/>
  <c r="N12" i="14"/>
  <c r="N16" i="14" s="1"/>
  <c r="N20" i="14"/>
  <c r="N22" i="14"/>
  <c r="C12" i="14"/>
  <c r="D12" i="14"/>
  <c r="F12" i="14" s="1"/>
  <c r="F13" i="14" s="1"/>
  <c r="I17" i="14" s="1"/>
  <c r="F10" i="14"/>
  <c r="F9" i="14"/>
  <c r="F7" i="14"/>
  <c r="F8" i="14"/>
  <c r="F11" i="14"/>
  <c r="H27" i="14"/>
  <c r="T11" i="14"/>
  <c r="T10" i="14"/>
  <c r="T8" i="14"/>
  <c r="T9" i="14"/>
  <c r="U11" i="14"/>
  <c r="V11" i="14"/>
  <c r="U12" i="14"/>
  <c r="U10" i="14"/>
  <c r="V10" i="14"/>
  <c r="U8" i="14"/>
  <c r="V8" i="14"/>
  <c r="U9" i="14"/>
  <c r="V9" i="14"/>
  <c r="D11" i="14"/>
  <c r="D13" i="14"/>
  <c r="K17" i="14" s="1"/>
  <c r="J17" i="14" s="1"/>
  <c r="I25" i="14"/>
  <c r="K25" i="14" s="1"/>
  <c r="E13" i="14"/>
  <c r="J25" i="14" s="1"/>
  <c r="M24" i="14"/>
  <c r="K24" i="14"/>
  <c r="J16" i="14" s="1"/>
  <c r="K23" i="14"/>
  <c r="K15" i="14" s="1"/>
  <c r="K22" i="14"/>
  <c r="K14" i="14" s="1"/>
  <c r="D20" i="14"/>
  <c r="E20" i="14" s="1"/>
  <c r="M21" i="14"/>
  <c r="S6" i="14"/>
  <c r="K20" i="14"/>
  <c r="J12" i="14" s="1"/>
  <c r="S5" i="14"/>
  <c r="K16" i="14"/>
  <c r="F16" i="14"/>
  <c r="D16" i="14"/>
  <c r="D15" i="14"/>
  <c r="M14" i="14"/>
  <c r="C13" i="14"/>
  <c r="B14" i="14"/>
  <c r="M13" i="14"/>
  <c r="K13" i="14"/>
  <c r="J13" i="14"/>
  <c r="K12" i="14"/>
  <c r="E11" i="14"/>
  <c r="H10" i="14"/>
  <c r="H9" i="14"/>
  <c r="R7" i="14"/>
  <c r="H5" i="14"/>
  <c r="I2" i="14"/>
  <c r="N12" i="11"/>
  <c r="N20" i="11"/>
  <c r="N16" i="11"/>
  <c r="N17" i="11"/>
  <c r="N22" i="11"/>
  <c r="T11" i="11"/>
  <c r="V11" i="11" s="1"/>
  <c r="T10" i="11"/>
  <c r="T8" i="11"/>
  <c r="T9" i="11"/>
  <c r="C11" i="11"/>
  <c r="D11" i="11" s="1"/>
  <c r="D13" i="11" s="1"/>
  <c r="Q25" i="11" s="1"/>
  <c r="M24" i="11"/>
  <c r="M21" i="11"/>
  <c r="U6" i="11"/>
  <c r="U5" i="11"/>
  <c r="F9" i="11"/>
  <c r="F10" i="11"/>
  <c r="F7" i="11"/>
  <c r="F8" i="11"/>
  <c r="Q10" i="11"/>
  <c r="D16" i="11"/>
  <c r="H15" i="11"/>
  <c r="D15" i="11"/>
  <c r="M14" i="11"/>
  <c r="H14" i="11"/>
  <c r="U11" i="11"/>
  <c r="U12" i="11"/>
  <c r="U10" i="11"/>
  <c r="V10" i="11"/>
  <c r="U8" i="11"/>
  <c r="V8" i="11"/>
  <c r="U9" i="11"/>
  <c r="V9" i="11"/>
  <c r="R12" i="11"/>
  <c r="J11" i="11"/>
  <c r="K11" i="11" s="1"/>
  <c r="J10" i="11"/>
  <c r="K10" i="11" s="1"/>
  <c r="J9" i="11"/>
  <c r="K9" i="11" s="1"/>
  <c r="K8" i="11"/>
  <c r="R7" i="11"/>
  <c r="J7" i="11"/>
  <c r="K7" i="11"/>
  <c r="H5" i="11"/>
  <c r="I2" i="11"/>
  <c r="N26" i="23"/>
  <c r="N25" i="23"/>
  <c r="N24" i="23"/>
  <c r="N23" i="23"/>
  <c r="R22" i="23"/>
  <c r="T22" i="23" s="1"/>
  <c r="U22" i="23" s="1"/>
  <c r="N22" i="23"/>
  <c r="R21" i="23"/>
  <c r="T21" i="23" s="1"/>
  <c r="U21" i="23" s="1"/>
  <c r="N21" i="23"/>
  <c r="N20" i="23"/>
  <c r="R19" i="23"/>
  <c r="T19" i="23" s="1"/>
  <c r="U19" i="23" s="1"/>
  <c r="N19" i="23"/>
  <c r="R18" i="23"/>
  <c r="T18" i="23" s="1"/>
  <c r="U18" i="23" s="1"/>
  <c r="N18" i="23"/>
  <c r="N17" i="23"/>
  <c r="N16" i="23"/>
  <c r="N15" i="23"/>
  <c r="N14" i="23"/>
  <c r="N13" i="23"/>
  <c r="N12" i="23"/>
  <c r="N11" i="23"/>
  <c r="N10" i="23"/>
  <c r="N9" i="23"/>
  <c r="N8" i="23"/>
  <c r="N7" i="23"/>
  <c r="N6" i="23"/>
  <c r="N5" i="23"/>
  <c r="D14" i="13" l="1"/>
  <c r="F14" i="13" s="1"/>
  <c r="F15" i="13" s="1"/>
  <c r="I25" i="13" s="1"/>
  <c r="Q10" i="14"/>
  <c r="N17" i="14"/>
  <c r="K7" i="16"/>
  <c r="U18" i="14"/>
  <c r="I19" i="26"/>
  <c r="V13" i="26"/>
  <c r="R40" i="26" s="1"/>
  <c r="Q40" i="26"/>
  <c r="D22" i="14"/>
  <c r="N18" i="14"/>
  <c r="M13" i="13"/>
  <c r="N18" i="4"/>
  <c r="N23" i="16"/>
  <c r="N24" i="16"/>
  <c r="J14" i="14"/>
  <c r="N18" i="13"/>
  <c r="N23" i="24"/>
  <c r="N24" i="24"/>
  <c r="N27" i="24" s="1"/>
  <c r="Q14" i="26"/>
  <c r="J6" i="26" s="1"/>
  <c r="W16" i="13"/>
  <c r="V16" i="13" s="1"/>
  <c r="Q11" i="16"/>
  <c r="Q18" i="16" s="1"/>
  <c r="N24" i="8"/>
  <c r="N23" i="8"/>
  <c r="M4" i="13"/>
  <c r="S19" i="14"/>
  <c r="T19" i="14" s="1"/>
  <c r="M4" i="14"/>
  <c r="J19" i="26"/>
  <c r="Q26" i="26"/>
  <c r="N23" i="4"/>
  <c r="N24" i="4"/>
  <c r="D23" i="4" s="1"/>
  <c r="E23" i="4" s="1"/>
  <c r="C13" i="11"/>
  <c r="B14" i="11" s="1"/>
  <c r="K8" i="15"/>
  <c r="K7" i="15"/>
  <c r="M13" i="8"/>
  <c r="D13" i="8"/>
  <c r="F13" i="8" s="1"/>
  <c r="F14" i="8" s="1"/>
  <c r="H20" i="8" s="1"/>
  <c r="S19" i="16"/>
  <c r="M4" i="16"/>
  <c r="W18" i="11"/>
  <c r="J12" i="11"/>
  <c r="D15" i="4"/>
  <c r="M13" i="4"/>
  <c r="N10" i="4"/>
  <c r="N18" i="11"/>
  <c r="N24" i="11" s="1"/>
  <c r="N22" i="15"/>
  <c r="T19" i="8"/>
  <c r="F12" i="15"/>
  <c r="D13" i="15"/>
  <c r="J9" i="15"/>
  <c r="K9" i="15" s="1"/>
  <c r="S24" i="15"/>
  <c r="C13" i="15"/>
  <c r="B15" i="15" s="1"/>
  <c r="M13" i="16"/>
  <c r="D20" i="11"/>
  <c r="W18" i="13"/>
  <c r="V18" i="13" s="1"/>
  <c r="U18" i="13"/>
  <c r="S19" i="24"/>
  <c r="Q11" i="24"/>
  <c r="M4" i="24"/>
  <c r="F11" i="11"/>
  <c r="F13" i="11" s="1"/>
  <c r="Q25" i="14"/>
  <c r="B17" i="14"/>
  <c r="F15" i="14"/>
  <c r="F11" i="15"/>
  <c r="B17" i="11"/>
  <c r="Q25" i="4"/>
  <c r="B19" i="4"/>
  <c r="J12" i="4"/>
  <c r="F17" i="4"/>
  <c r="J15" i="14"/>
  <c r="F15" i="4"/>
  <c r="F18" i="4" s="1"/>
  <c r="M4" i="15"/>
  <c r="F15" i="11"/>
  <c r="M13" i="15"/>
  <c r="U21" i="11"/>
  <c r="V21" i="11" s="1"/>
  <c r="D11" i="16"/>
  <c r="D11" i="24"/>
  <c r="C15" i="4"/>
  <c r="B16" i="4" s="1"/>
  <c r="V11" i="15"/>
  <c r="N20" i="15"/>
  <c r="Q10" i="15"/>
  <c r="Q12" i="15" s="1"/>
  <c r="N17" i="15"/>
  <c r="N16" i="15"/>
  <c r="F10" i="15"/>
  <c r="D22" i="4"/>
  <c r="D24" i="4" s="1"/>
  <c r="Q12" i="16" l="1"/>
  <c r="Q13" i="16" s="1"/>
  <c r="Q14" i="16" s="1"/>
  <c r="F18" i="13"/>
  <c r="N63" i="13"/>
  <c r="H27" i="13"/>
  <c r="D15" i="13"/>
  <c r="B19" i="13" s="1"/>
  <c r="I17" i="13"/>
  <c r="S40" i="26"/>
  <c r="N24" i="13"/>
  <c r="N23" i="13"/>
  <c r="S12" i="16"/>
  <c r="N26" i="16"/>
  <c r="K19" i="26"/>
  <c r="K17" i="13"/>
  <c r="D22" i="13"/>
  <c r="F17" i="13"/>
  <c r="Q25" i="13"/>
  <c r="N27" i="16"/>
  <c r="S12" i="24"/>
  <c r="R14" i="24" s="1"/>
  <c r="N26" i="24"/>
  <c r="N24" i="14"/>
  <c r="Q18" i="14" s="1"/>
  <c r="N23" i="14"/>
  <c r="N27" i="4"/>
  <c r="S12" i="4"/>
  <c r="N26" i="4"/>
  <c r="S12" i="11"/>
  <c r="N23" i="11"/>
  <c r="G25" i="8"/>
  <c r="I18" i="8"/>
  <c r="D14" i="8"/>
  <c r="Q25" i="8" s="1"/>
  <c r="S38" i="8"/>
  <c r="R38" i="8" s="1"/>
  <c r="Q39" i="8"/>
  <c r="F13" i="15"/>
  <c r="E13" i="15" s="1"/>
  <c r="E14" i="15" s="1"/>
  <c r="I11" i="15" s="1"/>
  <c r="E15" i="4"/>
  <c r="I12" i="4"/>
  <c r="K12" i="4" s="1"/>
  <c r="M4" i="4"/>
  <c r="S20" i="4"/>
  <c r="T12" i="8"/>
  <c r="N27" i="8"/>
  <c r="N26" i="8"/>
  <c r="F16" i="8"/>
  <c r="N25" i="16"/>
  <c r="Q17" i="16"/>
  <c r="Q19" i="16" s="1"/>
  <c r="F16" i="15"/>
  <c r="J11" i="15"/>
  <c r="D21" i="15"/>
  <c r="B18" i="15"/>
  <c r="Q27" i="15"/>
  <c r="F11" i="24"/>
  <c r="F12" i="24" s="1"/>
  <c r="D12" i="24"/>
  <c r="Q18" i="24"/>
  <c r="Q12" i="24"/>
  <c r="F11" i="16"/>
  <c r="F12" i="16" s="1"/>
  <c r="D12" i="16"/>
  <c r="H19" i="4"/>
  <c r="N25" i="8"/>
  <c r="Q18" i="8"/>
  <c r="Q11" i="8"/>
  <c r="M15" i="8"/>
  <c r="E13" i="11"/>
  <c r="I12" i="11"/>
  <c r="K12" i="11" s="1"/>
  <c r="N25" i="4"/>
  <c r="Q11" i="4"/>
  <c r="S13" i="4"/>
  <c r="T13" i="4" s="1"/>
  <c r="V13" i="4" s="1"/>
  <c r="Q18" i="4"/>
  <c r="N25" i="24"/>
  <c r="Q17" i="24"/>
  <c r="E20" i="11"/>
  <c r="D22" i="11"/>
  <c r="N18" i="15"/>
  <c r="Q13" i="15"/>
  <c r="Q14" i="15" s="1"/>
  <c r="E22" i="4"/>
  <c r="T12" i="24" l="1"/>
  <c r="T13" i="24" s="1"/>
  <c r="J15" i="16"/>
  <c r="J17" i="13"/>
  <c r="E15" i="13"/>
  <c r="J25" i="13" s="1"/>
  <c r="K25" i="13" s="1"/>
  <c r="N25" i="14"/>
  <c r="Q11" i="14"/>
  <c r="Q19" i="14" s="1"/>
  <c r="Q20" i="14" s="1"/>
  <c r="M15" i="14"/>
  <c r="S13" i="24"/>
  <c r="N23" i="15"/>
  <c r="N24" i="15"/>
  <c r="E22" i="13"/>
  <c r="D24" i="13"/>
  <c r="N26" i="14"/>
  <c r="S12" i="14"/>
  <c r="R14" i="14" s="1"/>
  <c r="N27" i="14"/>
  <c r="S12" i="13"/>
  <c r="N26" i="13"/>
  <c r="N25" i="13"/>
  <c r="M15" i="13"/>
  <c r="Q11" i="13"/>
  <c r="N27" i="13"/>
  <c r="Q18" i="13"/>
  <c r="N64" i="13"/>
  <c r="J18" i="8"/>
  <c r="K18" i="8" s="1"/>
  <c r="F17" i="8"/>
  <c r="Q18" i="11"/>
  <c r="N27" i="11"/>
  <c r="Q11" i="11"/>
  <c r="Q12" i="11" s="1"/>
  <c r="N26" i="11"/>
  <c r="N25" i="11"/>
  <c r="E14" i="8"/>
  <c r="R39" i="8" s="1"/>
  <c r="S39" i="8" s="1"/>
  <c r="B18" i="8"/>
  <c r="D21" i="8"/>
  <c r="D22" i="8"/>
  <c r="E22" i="8" s="1"/>
  <c r="D23" i="8"/>
  <c r="E21" i="8"/>
  <c r="K11" i="15"/>
  <c r="Q19" i="24"/>
  <c r="C24" i="15"/>
  <c r="E21" i="15"/>
  <c r="H19" i="11"/>
  <c r="F16" i="11"/>
  <c r="T12" i="11"/>
  <c r="S13" i="11"/>
  <c r="Q24" i="24"/>
  <c r="D19" i="24"/>
  <c r="F14" i="24"/>
  <c r="B16" i="24"/>
  <c r="J11" i="24"/>
  <c r="Q20" i="16"/>
  <c r="Q21" i="16" s="1"/>
  <c r="T13" i="8"/>
  <c r="U12" i="8"/>
  <c r="S14" i="8"/>
  <c r="I11" i="24"/>
  <c r="H18" i="24"/>
  <c r="F15" i="24"/>
  <c r="E12" i="24"/>
  <c r="Q12" i="4"/>
  <c r="Q19" i="4"/>
  <c r="Q20" i="4" s="1"/>
  <c r="S13" i="16"/>
  <c r="T12" i="16"/>
  <c r="R14" i="16"/>
  <c r="T12" i="4"/>
  <c r="S14" i="4"/>
  <c r="R15" i="4"/>
  <c r="Q19" i="8"/>
  <c r="Q20" i="8" s="1"/>
  <c r="Q12" i="8"/>
  <c r="Q24" i="16"/>
  <c r="D19" i="16"/>
  <c r="F14" i="16"/>
  <c r="B16" i="16"/>
  <c r="J11" i="16"/>
  <c r="V12" i="24"/>
  <c r="V13" i="24" s="1"/>
  <c r="I11" i="16"/>
  <c r="H18" i="16"/>
  <c r="F15" i="16"/>
  <c r="E12" i="16"/>
  <c r="Q13" i="24"/>
  <c r="Q14" i="24" s="1"/>
  <c r="F17" i="15"/>
  <c r="J15" i="15"/>
  <c r="S13" i="14" l="1"/>
  <c r="T12" i="14"/>
  <c r="Q12" i="14"/>
  <c r="R14" i="13"/>
  <c r="T12" i="13"/>
  <c r="S13" i="13"/>
  <c r="Q19" i="13"/>
  <c r="Q20" i="13" s="1"/>
  <c r="Q21" i="13" s="1"/>
  <c r="Q22" i="13" s="1"/>
  <c r="Q12" i="13"/>
  <c r="Q13" i="13" s="1"/>
  <c r="Q19" i="11"/>
  <c r="Q20" i="11" s="1"/>
  <c r="Q21" i="11" s="1"/>
  <c r="Q22" i="11" s="1"/>
  <c r="N26" i="15"/>
  <c r="S12" i="15"/>
  <c r="S13" i="15"/>
  <c r="T13" i="15" s="1"/>
  <c r="V13" i="15" s="1"/>
  <c r="N27" i="15"/>
  <c r="Q21" i="14"/>
  <c r="Q22" i="14" s="1"/>
  <c r="V12" i="14"/>
  <c r="V13" i="14" s="1"/>
  <c r="T13" i="14"/>
  <c r="W12" i="8"/>
  <c r="W13" i="8" s="1"/>
  <c r="U13" i="8"/>
  <c r="Q21" i="4"/>
  <c r="Q22" i="4" s="1"/>
  <c r="K11" i="16"/>
  <c r="D21" i="16"/>
  <c r="E19" i="16"/>
  <c r="V12" i="4"/>
  <c r="V14" i="4" s="1"/>
  <c r="T14" i="4"/>
  <c r="K11" i="24"/>
  <c r="E19" i="24"/>
  <c r="D21" i="24"/>
  <c r="Q13" i="4"/>
  <c r="Q14" i="4" s="1"/>
  <c r="J15" i="24"/>
  <c r="J12" i="24"/>
  <c r="Q25" i="24" s="1"/>
  <c r="D20" i="24"/>
  <c r="E20" i="24" s="1"/>
  <c r="Q13" i="11"/>
  <c r="Q14" i="11" s="1"/>
  <c r="I12" i="24"/>
  <c r="U13" i="24"/>
  <c r="Q13" i="8"/>
  <c r="Q14" i="8" s="1"/>
  <c r="J6" i="8" s="1"/>
  <c r="V12" i="16"/>
  <c r="V13" i="16" s="1"/>
  <c r="T13" i="16"/>
  <c r="Q13" i="14"/>
  <c r="Q21" i="8"/>
  <c r="Q22" i="8" s="1"/>
  <c r="V12" i="11"/>
  <c r="V13" i="11" s="1"/>
  <c r="T13" i="11"/>
  <c r="Q20" i="24"/>
  <c r="Q21" i="24" s="1"/>
  <c r="M15" i="15"/>
  <c r="Q17" i="15"/>
  <c r="Q19" i="15" s="1"/>
  <c r="D22" i="15"/>
  <c r="E22" i="15" s="1"/>
  <c r="N25" i="15"/>
  <c r="J6" i="13" l="1"/>
  <c r="V12" i="13"/>
  <c r="V13" i="13" s="1"/>
  <c r="T13" i="13"/>
  <c r="Q14" i="13"/>
  <c r="K12" i="24"/>
  <c r="J16" i="11"/>
  <c r="U14" i="4"/>
  <c r="I13" i="4"/>
  <c r="D21" i="14"/>
  <c r="E21" i="14" s="1"/>
  <c r="K18" i="14"/>
  <c r="Q26" i="14"/>
  <c r="I26" i="14"/>
  <c r="I18" i="14"/>
  <c r="U13" i="14"/>
  <c r="J26" i="14" s="1"/>
  <c r="D21" i="11"/>
  <c r="E21" i="11" s="1"/>
  <c r="J13" i="11"/>
  <c r="Q26" i="11" s="1"/>
  <c r="Q14" i="14"/>
  <c r="J6" i="14" s="1"/>
  <c r="J16" i="4"/>
  <c r="J12" i="16"/>
  <c r="Q25" i="16" s="1"/>
  <c r="D20" i="16"/>
  <c r="E20" i="16" s="1"/>
  <c r="Q26" i="8"/>
  <c r="J19" i="8"/>
  <c r="I13" i="11"/>
  <c r="U13" i="11"/>
  <c r="K13" i="11" s="1"/>
  <c r="I12" i="16"/>
  <c r="U13" i="16"/>
  <c r="Q26" i="4"/>
  <c r="J13" i="4"/>
  <c r="I19" i="8"/>
  <c r="Q40" i="8"/>
  <c r="V13" i="8"/>
  <c r="R40" i="8" s="1"/>
  <c r="Q20" i="15"/>
  <c r="Q21" i="15" s="1"/>
  <c r="S14" i="15"/>
  <c r="T12" i="15"/>
  <c r="R16" i="15"/>
  <c r="K13" i="4" l="1"/>
  <c r="D23" i="13"/>
  <c r="E23" i="13" s="1"/>
  <c r="K18" i="13"/>
  <c r="Q26" i="13"/>
  <c r="I26" i="13"/>
  <c r="I18" i="13"/>
  <c r="J18" i="13" s="1"/>
  <c r="U13" i="13"/>
  <c r="J26" i="13" s="1"/>
  <c r="K12" i="16"/>
  <c r="K26" i="14"/>
  <c r="K19" i="8"/>
  <c r="S40" i="8"/>
  <c r="J18" i="14"/>
  <c r="T14" i="15"/>
  <c r="J12" i="15" s="1"/>
  <c r="Q28" i="15" s="1"/>
  <c r="V12" i="15"/>
  <c r="V14" i="15" s="1"/>
  <c r="K26" i="13" l="1"/>
  <c r="U14" i="15"/>
  <c r="U15" i="15" s="1"/>
  <c r="I12" i="15" s="1"/>
  <c r="H18" i="15" s="1"/>
  <c r="K1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tc={1370A4B5-CC4B-454C-B081-81763A92197F}</author>
    <author>tc={9EFB4670-DED2-4811-AC83-52C743E1CBEB}</author>
    <author>tc={BAC1BDB9-6D58-4A9F-87CA-DB338199D825}</author>
    <author>tc={EDE96EB8-9628-4338-84E0-088E200EDA6B}</author>
    <author>tc={4A7EDED8-8958-4697-82F6-85A710D6BBE1}</author>
    <author>tc={4680B8A8-64B2-477A-9ABB-711072D2430A}</author>
    <author>tc={3B7C1840-281F-4678-9851-3ADC591FF2C9}</author>
    <author>tc={DAA9895B-F79B-445D-A6D3-55BF1959D2CD}</author>
    <author>tc={451E54D4-F4DD-43AA-AEFD-30DFD376F6D1}</author>
    <author>tc={6EC88560-4B62-4102-8242-D17AE7A7C75B}</author>
    <author>tc={86870286-323C-4B52-A3A5-6F5961A9A241}</author>
    <author>tc={B2D6C0BA-7DAD-4728-B842-2E95B6D1F3A4}</author>
    <author>tc={2F318C45-B4CA-4688-A632-900188C02E74}</author>
    <author>tc={AE11363A-BFA0-4662-9FFB-2AA6FFA5E321}</author>
    <author>tc={C0E6EF14-6AFA-4998-9DDD-8DD867CDEF62}</author>
    <author>tc={484CD496-C505-42F5-AF3B-0489787A6676}</author>
    <author>tc={C1DCC8A3-66B1-4851-87BD-C4C853203796}</author>
    <author>tc={4E163D07-9C23-4949-BA79-61319353FC9A}</author>
    <author>tc={78A5F7E5-2ADD-4E02-A4DF-FCC255EC5470}</author>
    <author>tc={27847B60-8D90-4493-B19D-0D3F2E7947EC}</author>
  </authors>
  <commentList>
    <comment ref="B3" authorId="0" shapeId="0" xr:uid="{1370A4B5-CC4B-454C-B081-81763A9219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9EFB4670-DED2-4811-AC83-52C743E1CB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BAC1BDB9-6D58-4A9F-87CA-DB338199D82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3" shapeId="0" xr:uid="{EDE96EB8-9628-4338-84E0-088E200EDA6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4" shapeId="0" xr:uid="{4A7EDED8-8958-4697-82F6-85A710D6BB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5" shapeId="0" xr:uid="{4680B8A8-64B2-477A-9ABB-711072D2430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6" shapeId="0" xr:uid="{3B7C1840-281F-4678-9851-3ADC591FF2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7" shapeId="0" xr:uid="{DAA9895B-F79B-445D-A6D3-55BF1959D2C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H16" authorId="8" shapeId="0" xr:uid="{451E54D4-F4DD-43AA-AEFD-30DFD376F6D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M16" authorId="9" shapeId="0" xr:uid="{6EC88560-4B62-4102-8242-D17AE7A7C75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0" shapeId="0" xr:uid="{86870286-323C-4B52-A3A5-6F5961A9A24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7" authorId="11" shapeId="0" xr:uid="{B2D6C0BA-7DAD-4728-B842-2E95B6D1F3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2" shapeId="0" xr:uid="{2F318C45-B4CA-4688-A632-900188C02E7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3" shapeId="0" xr:uid="{AE11363A-BFA0-4662-9FFB-2AA6FFA5E32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4" shapeId="0" xr:uid="{C0E6EF14-6AFA-4998-9DDD-8DD867CDEF6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5" shapeId="0" xr:uid="{484CD496-C505-42F5-AF3B-0489787A66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6" shapeId="0" xr:uid="{C1DCC8A3-66B1-4851-87BD-C4C85320379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7" shapeId="0" xr:uid="{4E163D07-9C23-4949-BA79-61319353FC9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18" shapeId="0" xr:uid="{78A5F7E5-2ADD-4E02-A4DF-FCC255EC54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7" authorId="19" shapeId="0" xr:uid="{27847B60-8D90-4493-B19D-0D3F2E7947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tc={487E96C7-474A-4BD0-8A96-987D6305EB12}</author>
    <author>tc={574A5C83-1D32-4B82-BD07-5619C4A7F5C9}</author>
    <author>tc={06602FF2-CC23-42D8-850F-67C22401B883}</author>
    <author>tc={A5BA15B3-5380-49D0-99FD-F1A2C846D7D6}</author>
    <author>tc={A364A53F-EFF9-41D6-89E0-2406A6EDD23B}</author>
    <author>tc={BCCC3560-E8D9-4119-90C5-5D4CACEC366B}</author>
    <author>tc={4D7278EA-C547-4F0A-8EAB-EFDD5DE5F06E}</author>
    <author>tc={C70CDEA8-BBC7-4D93-9CB6-370DC884C425}</author>
    <author>tc={FD7A3242-D70F-4B93-A129-1AC7CC2E5080}</author>
    <author>tc={2AB2CF71-C96D-4293-97E4-3CA72CB1115B}</author>
    <author>tc={AFA6F68C-95D5-42FF-90A7-9DE43EDFCF3F}</author>
    <author>tc={AEFB13F1-EC06-48E9-9DD8-50B9719A6D40}</author>
    <author>tc={0016174E-F830-4752-A630-C4C0A55FCFFC}</author>
    <author>tc={ECF48107-BBF9-477C-BDFA-FB99CE10252D}</author>
    <author>tc={5AF14E8D-4E04-4A1A-8B23-762417E89C86}</author>
    <author>tc={D54C4A54-3F6A-4059-B730-4D13546E2E83}</author>
    <author>tc={6385FB83-C35F-4FFC-97BC-348E60EE1FBD}</author>
    <author>tc={78E7E695-240B-43C7-AFF2-31F0AA98EE05}</author>
    <author>tc={D4D164CB-FA19-4CCA-BD2A-CF2C56B132CF}</author>
    <author>tc={D06E9F76-A1C6-430B-9C18-997612DF374E}</author>
  </authors>
  <commentList>
    <comment ref="B3" authorId="0" shapeId="0" xr:uid="{487E96C7-474A-4BD0-8A96-987D6305EB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574A5C83-1D32-4B82-BD07-5619C4A7F5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06602FF2-CC23-42D8-850F-67C22401B8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7" authorId="3" shapeId="0" xr:uid="{A5BA15B3-5380-49D0-99FD-F1A2C846D7D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B8" authorId="4" shapeId="0" xr:uid="{A364A53F-EFF9-41D6-89E0-2406A6EDD23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5" shapeId="0" xr:uid="{BCCC3560-E8D9-4119-90C5-5D4CACEC366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6" shapeId="0" xr:uid="{4D7278EA-C547-4F0A-8EAB-EFDD5DE5F06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7" shapeId="0" xr:uid="{C70CDEA8-BBC7-4D93-9CB6-370DC884C42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8" shapeId="0" xr:uid="{FD7A3242-D70F-4B93-A129-1AC7CC2E508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compartiment AV (maxi 54 kg)</t>
      </text>
    </comment>
    <comment ref="M16" authorId="9" shapeId="0" xr:uid="{2AB2CF71-C96D-4293-97E4-3CA72CB1115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0" shapeId="0" xr:uid="{AFA6F68C-95D5-42FF-90A7-9DE43EDFCF3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1" shapeId="0" xr:uid="{AEFB13F1-EC06-48E9-9DD8-50B9719A6D4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2" shapeId="0" xr:uid="{0016174E-F830-4752-A630-C4C0A55FCFF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3" shapeId="0" xr:uid="{ECF48107-BBF9-477C-BDFA-FB99CE10252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4" shapeId="0" xr:uid="{5AF14E8D-4E04-4A1A-8B23-762417E89C8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5" shapeId="0" xr:uid="{D54C4A54-3F6A-4059-B730-4D13546E2E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6" shapeId="0" xr:uid="{6385FB83-C35F-4FFC-97BC-348E60EE1FB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17" shapeId="0" xr:uid="{78E7E695-240B-43C7-AFF2-31F0AA98EE0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18" shapeId="0" xr:uid="{D4D164CB-FA19-4CCA-BD2A-CF2C56B132C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19" shapeId="0" xr:uid="{D06E9F76-A1C6-430B-9C18-997612DF374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tc={5CC577F3-7572-4FE5-ABA9-54F96C9B653A}</author>
    <author>tc={4799AAB2-427F-4CBE-BE99-6BD8AE30065A}</author>
    <author>tc={6FE366B1-330B-4670-9E07-7B368702BE38}</author>
    <author>tc={26789F1A-AEE3-47B4-9670-0CA9A70AA3A3}</author>
    <author>tc={573C189C-8A6C-4536-8424-5C7F356B458E}</author>
    <author>tc={08BD3BE5-1C1C-4A29-8CD6-D9856AD97255}</author>
    <author>tc={38F5B659-A77C-43A7-A225-2288FBD15D8A}</author>
    <author>tc={1B4C9429-D031-42A4-962A-77FE8C844995}</author>
    <author>tc={84198EAA-9F6E-401E-8343-6D92B642F3A7}</author>
    <author>tc={8C96F141-BF23-4970-8EDF-962AD9247508}</author>
    <author>tc={EBDA0A25-4352-43B3-B351-3EE2BF14A6D1}</author>
    <author>tc={2CABC944-D47D-4F3F-8A59-9FE0FD041A77}</author>
    <author>tc={4B6FC265-5D0C-4F19-9C9F-5DB4522D4D45}</author>
    <author>tc={E1886E19-47A3-40B6-BE4B-2CDF800E8DA5}</author>
    <author>tc={F07D0943-1E63-4B5E-A864-F8A1AAFC8176}</author>
    <author>tc={C66A3A1A-7EE5-4D6B-B95D-625108AF6703}</author>
    <author>tc={056F43BB-9B7B-43D1-B756-3A7CBFE83DE5}</author>
    <author>tc={25FBD88E-E2CF-4486-84DC-7877A134C2A7}</author>
    <author>tc={020ED874-4C2B-4E10-B6CE-69B387FEA8B4}</author>
    <author>tc={DF41D3C0-4DD9-4439-B2CF-223EB0BAEF61}</author>
    <author>tc={D46B206D-976C-49D6-A669-5F7145F31FFA}</author>
    <author>tc={062316B9-73A3-41F2-929E-4DB6C5C6BDB6}</author>
  </authors>
  <commentList>
    <comment ref="B3" authorId="0" shapeId="0" xr:uid="{5CC577F3-7572-4FE5-ABA9-54F96C9B653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4799AAB2-427F-4CBE-BE99-6BD8AE30065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6FE366B1-330B-4670-9E07-7B368702BE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7" authorId="3" shapeId="0" xr:uid="{26789F1A-AEE3-47B4-9670-0CA9A70AA3A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C8" authorId="4" shapeId="0" xr:uid="{573C189C-8A6C-4536-8424-5C7F356B45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5" shapeId="0" xr:uid="{08BD3BE5-1C1C-4A29-8CD6-D9856AD9725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C9" authorId="6" shapeId="0" xr:uid="{38F5B659-A77C-43A7-A225-2288FBD15D8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7" shapeId="0" xr:uid="{1B4C9429-D031-42A4-962A-77FE8C84499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C10" authorId="8" shapeId="0" xr:uid="{84198EAA-9F6E-401E-8343-6D92B642F3A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C11" authorId="9" shapeId="0" xr:uid="{8C96F141-BF23-4970-8EDF-962AD924750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C12" authorId="10" shapeId="0" xr:uid="{EBDA0A25-4352-43B3-B351-3EE2BF14A6D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compartiment AV (maxi 54 kg)</t>
      </text>
    </comment>
    <comment ref="M16" authorId="11" shapeId="0" xr:uid="{2CABC944-D47D-4F3F-8A59-9FE0FD041A7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2" shapeId="0" xr:uid="{4B6FC265-5D0C-4F19-9C9F-5DB4522D4D4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3" shapeId="0" xr:uid="{E1886E19-47A3-40B6-BE4B-2CDF800E8D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4" shapeId="0" xr:uid="{F07D0943-1E63-4B5E-A864-F8A1AAFC81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5" shapeId="0" xr:uid="{C66A3A1A-7EE5-4D6B-B95D-625108AF670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6" shapeId="0" xr:uid="{056F43BB-9B7B-43D1-B756-3A7CBFE83DE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7" shapeId="0" xr:uid="{25FBD88E-E2CF-4486-84DC-7877A134C2A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8" shapeId="0" xr:uid="{020ED874-4C2B-4E10-B6CE-69B387FEA8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19" shapeId="0" xr:uid="{DF41D3C0-4DD9-4439-B2CF-223EB0BAEF6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0" shapeId="0" xr:uid="{D46B206D-976C-49D6-A669-5F7145F31FF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1" shapeId="0" xr:uid="{062316B9-73A3-41F2-929E-4DB6C5C6BDB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tc={1231923F-4E0F-445E-B265-D0A5A2B0934F}</author>
    <author>tc={732B5D00-CADA-4258-96B7-DFF38B94A797}</author>
    <author>tc={FFCDE4B8-ACF8-4CB5-BAB7-EE1C34E65882}</author>
    <author>tc={D82A9B66-7328-41AC-9731-46E9034780D4}</author>
    <author>tc={A936E81C-4178-4B98-8908-EB94F05AFC4F}</author>
    <author>tc={49677982-E9A4-4C8A-8FAB-99F8CED32CCC}</author>
    <author>tc={19DDE0DD-6359-4DAE-83E7-D6FEB387E131}</author>
    <author>tc={1BFEA419-6AC2-4848-A5A8-54F334640D6E}</author>
    <author>tc={2A82EDAD-8E0E-4D6A-9010-496EAB4C4989}</author>
    <author>tc={0AAFF31E-948A-43F4-B506-C2A06553991A}</author>
    <author>tc={E40F23C5-EA6B-4302-B395-4F2A97982D56}</author>
    <author>tc={5C37D040-E9C1-4ED8-AFED-693336E85051}</author>
    <author>tc={5AB644F4-40F6-429B-BC01-F43E7A27BAF3}</author>
    <author>tc={B1A8ABA1-7702-4A52-A40B-433BD7933D48}</author>
    <author>tc={8D6976E4-C42B-4A7F-BB94-247C351CCE92}</author>
    <author>tc={8EA4959E-B732-494E-836D-E50110B8920D}</author>
    <author>tc={8E24621E-43F5-4CBC-A245-4D238A749D12}</author>
    <author>tc={44A5DB96-2F57-47B3-8C21-4DA08995E3C8}</author>
    <author>tc={7486CA2F-16BA-4425-B9B3-32F6F6AF4723}</author>
    <author>tc={D1EE2438-E83E-4513-B335-A35D5A005ACF}</author>
    <author>tc={622F6863-2D56-4CB6-BD5F-24910F0C8A36}</author>
    <author>tc={CB127D56-AFF6-4044-9287-3EB162551931}</author>
    <author>tc={2F3174EE-2509-4B3F-B2AD-7BCFF1ED9C38}</author>
  </authors>
  <commentList>
    <comment ref="B3" authorId="0" shapeId="0" xr:uid="{1231923F-4E0F-445E-B265-D0A5A2B0934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732B5D00-CADA-4258-96B7-DFF38B94A79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FFCDE4B8-ACF8-4CB5-BAB7-EE1C34E6588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M8" authorId="3" shapeId="0" xr:uid="{D82A9B66-7328-41AC-9731-46E9034780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principal.
Entre parenthèse figure le litrage maximum admissible dans le réservoir.</t>
      </text>
    </comment>
    <comment ref="B9" authorId="4" shapeId="0" xr:uid="{A936E81C-4178-4B98-8908-EB94F05AFC4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M9" authorId="5" shapeId="0" xr:uid="{49677982-E9A4-4C8A-8FAB-99F8CED32C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secondaire.
Entre parenthèse figure le litrage maximum admissible dans le réservoir.</t>
      </text>
    </comment>
    <comment ref="B10" authorId="6" shapeId="0" xr:uid="{19DDE0DD-6359-4DAE-83E7-D6FEB387E13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7" shapeId="0" xr:uid="{1BFEA419-6AC2-4848-A5A8-54F334640D6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B12" authorId="8" shapeId="0" xr:uid="{2A82EDAD-8E0E-4D6A-9010-496EAB4C498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H16" authorId="9" shapeId="0" xr:uid="{0AAFF31E-948A-43F4-B506-C2A06553991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M16" authorId="10" shapeId="0" xr:uid="{E40F23C5-EA6B-4302-B395-4F2A97982D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1" shapeId="0" xr:uid="{5C37D040-E9C1-4ED8-AFED-693336E8505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7" authorId="12" shapeId="0" xr:uid="{5AB644F4-40F6-429B-BC01-F43E7A27BAF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H18" authorId="13" shapeId="0" xr:uid="{B1A8ABA1-7702-4A52-A40B-433BD7933D4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8" authorId="14" shapeId="0" xr:uid="{8D6976E4-C42B-4A7F-BB94-247C351CCE9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8EA4959E-B732-494E-836D-E50110B8920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8E24621E-43F5-4CBC-A245-4D238A749D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44A5DB96-2F57-47B3-8C21-4DA08995E3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7486CA2F-16BA-4425-B9B3-32F6F6AF4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D1EE2438-E83E-4513-B335-A35D5A005AC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622F6863-2D56-4CB6-BD5F-24910F0C8A3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CB127D56-AFF6-4044-9287-3EB16255193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2F3174EE-2509-4B3F-B2AD-7BCFF1ED9C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tc={0CF43877-9C0A-4EE0-A32D-C2860925A87F}</author>
    <author>tc={0305E28B-E1D1-4B22-8E42-D33DC1950F6C}</author>
    <author>tc={E09A2E62-58E7-4D08-BDF0-3341BA458CB5}</author>
    <author>tc={0FB76792-E074-456F-8354-A0084C1693B9}</author>
    <author>tc={5586AD28-FC3E-4879-9E0D-30DFD30A89EB}</author>
    <author>tc={1888D63E-C87B-456E-8A14-65900F4E38C9}</author>
    <author>tc={DB6087B5-88EC-4776-A47F-4E280419DF48}</author>
    <author>tc={072700F8-FE49-4676-8881-19D756307B8F}</author>
    <author>tc={C1BB2A9E-0559-4CF0-AE57-84447BE0F356}</author>
    <author>tc={D6026C3E-8EAE-4E20-BA9D-EC3C8BDFDE75}</author>
    <author>tc={57995D58-5544-41E0-986B-32841D504044}</author>
    <author>tc={FC10322C-B3B9-4912-97F3-81A578734DB7}</author>
    <author>tc={E85C3AA2-ADD7-4E7D-BEDA-1CF6ABE80B2D}</author>
    <author>tc={EAAD5BB1-8046-4FF4-9CA2-B8C3937F80CE}</author>
    <author>tc={F5CEC4E3-23FD-4F87-89A1-ECFC8EABFAE1}</author>
    <author>tc={86E41B57-C293-4628-A2E7-68691611117B}</author>
    <author>tc={E1971B82-9EB6-4452-8DB4-1255E5A98956}</author>
    <author>tc={36011977-8569-4EFC-B0BA-07A6584F51A5}</author>
    <author>tc={470CAE1E-5DC7-4D32-89DF-248122532412}</author>
    <author>tc={2254E014-7DCE-4C6F-A5FD-48C4AA95FA57}</author>
    <author>tc={E26369AE-E962-4F99-AFAB-65EDA8257578}</author>
    <author>tc={2666BC60-4579-40DD-92AD-E76F35FF2200}</author>
    <author>tc={A9E65768-F520-4E60-A308-6A231A8033FC}</author>
  </authors>
  <commentList>
    <comment ref="B3" authorId="0" shapeId="0" xr:uid="{0CF43877-9C0A-4EE0-A32D-C2860925A8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0305E28B-E1D1-4B22-8E42-D33DC1950F6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E09A2E62-58E7-4D08-BDF0-3341BA458CB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E8" authorId="3" shapeId="0" xr:uid="{0FB76792-E074-456F-8354-A0084C1693B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8" authorId="4" shapeId="0" xr:uid="{5586AD28-FC3E-4879-9E0D-30DFD30A89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9" authorId="5" shapeId="0" xr:uid="{1888D63E-C87B-456E-8A14-65900F4E38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E9" authorId="6" shapeId="0" xr:uid="{DB6087B5-88EC-4776-A47F-4E280419DF4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9" authorId="7" shapeId="0" xr:uid="{072700F8-FE49-4676-8881-19D756307B8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8" shapeId="0" xr:uid="{C1BB2A9E-0559-4CF0-AE57-84447BE0F3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(Maximum 40 kg)</t>
      </text>
    </comment>
    <comment ref="H15" authorId="9" shapeId="0" xr:uid="{D6026C3E-8EAE-4E20-BA9D-EC3C8BDFDE7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16" authorId="10" shapeId="0" xr:uid="{57995D58-5544-41E0-986B-32841D50404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6" authorId="11" shapeId="0" xr:uid="{FC10322C-B3B9-4912-97F3-81A578734DB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2" shapeId="0" xr:uid="{E85C3AA2-ADD7-4E7D-BEDA-1CF6ABE80B2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7" authorId="13" shapeId="0" xr:uid="{EAAD5BB1-8046-4FF4-9CA2-B8C3937F80C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F5CEC4E3-23FD-4F87-89A1-ECFC8EABFA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86E41B57-C293-4628-A2E7-68691611117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E1971B82-9EB6-4452-8DB4-1255E5A989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36011977-8569-4EFC-B0BA-07A6584F51A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470CAE1E-5DC7-4D32-89DF-2481225324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2254E014-7DCE-4C6F-A5FD-48C4AA95FA5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E26369AE-E962-4F99-AFAB-65EDA825757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2666BC60-4579-40DD-92AD-E76F35FF22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A9E65768-F520-4E60-A308-6A231A8033F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tc={78A39445-939F-4245-9355-5BBD6B0990C3}</author>
    <author>tc={02823BB1-8D5F-4307-AA9B-D13213BF39D2}</author>
    <author>tc={41CFABA2-9E7A-4399-992D-C4B0096E3428}</author>
    <author>tc={15DF5830-21DE-4A39-90EA-6512D34FCC1A}</author>
    <author>tc={A1AD1B98-9FA5-4629-9465-7FE7586ED99D}</author>
    <author>tc={931382A4-453C-4D69-99E6-84388EF0D9EE}</author>
    <author>tc={3ABC3AB4-332F-40E8-869F-1FCCC86A9C03}</author>
    <author>tc={041222DF-2A35-460A-9682-666E68993069}</author>
    <author>tc={3F87FAF9-A707-4E80-B805-6C0209A52773}</author>
    <author>tc={BD58CD91-DF51-4046-9AC5-832F93AAE33B}</author>
    <author>tc={D3D85585-31CA-4DB8-9B9E-C7709BF077C9}</author>
    <author>tc={53666B33-17B6-40E7-886B-C1A62F8FFD26}</author>
    <author>tc={C09486D6-B616-40DB-9F01-C724557CCD4F}</author>
    <author>tc={26CE29DE-F63C-46E4-AF73-F0F4559DDF5C}</author>
    <author>tc={47092395-73D8-47F1-9724-8FECB70E5809}</author>
    <author>tc={6A677F24-57D6-40D5-957E-21F0470C5EE8}</author>
    <author>tc={9BA9A4B3-1285-4CA1-9278-1EE476BB9CB2}</author>
    <author>tc={AF2AF625-FC38-43F2-B2EA-1AC2F1DBF18C}</author>
    <author>tc={03A95060-8429-4250-BC42-08AF6E9E90D9}</author>
    <author>tc={58374E82-2C59-4966-BCFB-8A2AB9B9C1EC}</author>
    <author>tc={E006C906-7B4F-4D84-A33D-278CE220A7F0}</author>
    <author>tc={1EDF03B2-7475-41F4-BA6E-725ABB2FF786}</author>
    <author>tc={6E7100E1-2060-47AA-B010-672CF88D8ED4}</author>
  </authors>
  <commentList>
    <comment ref="B3" authorId="0" shapeId="0" xr:uid="{78A39445-939F-4245-9355-5BBD6B0990C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02823BB1-8D5F-4307-AA9B-D13213BF39D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B8" authorId="2" shapeId="0" xr:uid="{41CFABA2-9E7A-4399-992D-C4B0096E34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E8" authorId="3" shapeId="0" xr:uid="{15DF5830-21DE-4A39-90EA-6512D34FCC1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8" authorId="4" shapeId="0" xr:uid="{A1AD1B98-9FA5-4629-9465-7FE7586ED99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9" authorId="5" shapeId="0" xr:uid="{931382A4-453C-4D69-99E6-84388EF0D9E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E9" authorId="6" shapeId="0" xr:uid="{3ABC3AB4-332F-40E8-869F-1FCCC86A9C0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sélectionnez le bras de levier correspondant</t>
      </text>
    </comment>
    <comment ref="M9" authorId="7" shapeId="0" xr:uid="{041222DF-2A35-460A-9682-666E6899306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8" shapeId="0" xr:uid="{3F87FAF9-A707-4E80-B805-6C0209A5277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 (Maximum 40 kg)</t>
      </text>
    </comment>
    <comment ref="H15" authorId="9" shapeId="0" xr:uid="{BD58CD91-DF51-4046-9AC5-832F93AAE33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16" authorId="10" shapeId="0" xr:uid="{D3D85585-31CA-4DB8-9B9E-C7709BF077C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6" authorId="11" shapeId="0" xr:uid="{53666B33-17B6-40E7-886B-C1A62F8FFD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2" shapeId="0" xr:uid="{C09486D6-B616-40DB-9F01-C724557CCD4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7" authorId="13" shapeId="0" xr:uid="{26CE29DE-F63C-46E4-AF73-F0F4559DDF5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47092395-73D8-47F1-9724-8FECB70E580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6A677F24-57D6-40D5-957E-21F0470C5EE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9BA9A4B3-1285-4CA1-9278-1EE476BB9CB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AF2AF625-FC38-43F2-B2EA-1AC2F1DBF18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03A95060-8429-4250-BC42-08AF6E9E90D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58374E82-2C59-4966-BCFB-8A2AB9B9C1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0" shapeId="0" xr:uid="{E006C906-7B4F-4D84-A33D-278CE220A7F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1" shapeId="0" xr:uid="{1EDF03B2-7475-41F4-BA6E-725ABB2FF78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2" shapeId="0" xr:uid="{6E7100E1-2060-47AA-B010-672CF88D8E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tc={65E24B83-E487-4BB5-857A-2E706DC582A2}</author>
    <author>tc={C53BDF0A-E546-4219-8A9B-0182C81B3278}</author>
    <author>tc={02FBD1D5-96B6-4652-8330-6B5E0293B9E4}</author>
    <author>tc={D5DEB213-E389-481D-A3C5-40AB38CC9325}</author>
    <author>tc={83259B5A-7A04-46B9-9202-C735022C4D60}</author>
    <author>tc={6248B69C-EA70-4FD2-A6C5-477EB9B2F921}</author>
    <author>tc={E409A30C-2A95-432D-BB34-F02150F42811}</author>
    <author>tc={15F4D701-394D-4024-A770-56237859B52E}</author>
    <author>tc={703EEFE7-C3A2-40B3-A566-5163F7017F8E}</author>
    <author>tc={385F705A-F120-4E19-9A03-D1EB58595183}</author>
    <author>tc={0E211B92-7389-47E6-99CE-5B5DAF4EE2BD}</author>
    <author>tc={E78795F9-D1E2-42FA-BCCF-A998AA7E25DA}</author>
    <author>tc={4D679B8E-0A3E-4A10-A1F2-2E987E0360A9}</author>
    <author>tc={79984F60-8478-41AC-B86F-8C13BC39C599}</author>
    <author>tc={538A836B-32FB-43AE-9FC5-7A9B57577C94}</author>
    <author>tc={D1B6947F-389A-4680-A89F-76DC7F651B69}</author>
    <author>tc={4246A0F8-46E1-4A46-A078-950614BFB0B2}</author>
    <author>tc={770C8837-9993-4D05-9C4D-0A9D8DE08643}</author>
    <author>tc={8B2F90E8-F91A-452F-8650-F1ED46939352}</author>
    <author>tc={F255B90A-653A-426D-B547-8FD077606312}</author>
    <author>tc={4C868F8E-AAA4-4672-9915-FB27108FAFF8}</author>
    <author>tc={D04EE888-4025-4930-B1A6-310B4F5C498E}</author>
    <author>tc={2252E8B2-0B46-4BD8-8F04-405C3837A67D}</author>
    <author>tc={5F046F64-437E-44BF-A46B-79AEC9B4AC2E}</author>
  </authors>
  <commentList>
    <comment ref="B3" authorId="0" shapeId="0" xr:uid="{65E24B83-E487-4BB5-857A-2E706DC582A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C53BDF0A-E546-4219-8A9B-0182C81B327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02FBD1D5-96B6-4652-8330-6B5E0293B9E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B8" authorId="3" shapeId="0" xr:uid="{D5DEB213-E389-481D-A3C5-40AB38CC932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H8" authorId="4" shapeId="0" xr:uid="{83259B5A-7A04-46B9-9202-C735022C4D6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8" authorId="5" shapeId="0" xr:uid="{6248B69C-EA70-4FD2-A6C5-477EB9B2F92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6" shapeId="0" xr:uid="{E409A30C-2A95-432D-BB34-F02150F4281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H9" authorId="7" shapeId="0" xr:uid="{15F4D701-394D-4024-A770-56237859B52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9" authorId="8" shapeId="0" xr:uid="{703EEFE7-C3A2-40B3-A566-5163F7017F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9" shapeId="0" xr:uid="{385F705A-F120-4E19-9A03-D1EB585951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10" shapeId="0" xr:uid="{0E211B92-7389-47E6-99CE-5B5DAF4EE2B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B12" authorId="11" shapeId="0" xr:uid="{E78795F9-D1E2-42FA-BCCF-A998AA7E25D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M16" authorId="12" shapeId="0" xr:uid="{4D679B8E-0A3E-4A10-A1F2-2E987E0360A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3" shapeId="0" xr:uid="{79984F60-8478-41AC-B86F-8C13BC39C59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538A836B-32FB-43AE-9FC5-7A9B57577C9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D1B6947F-389A-4680-A89F-76DC7F651B6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4246A0F8-46E1-4A46-A078-950614BFB0B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770C8837-9993-4D05-9C4D-0A9D8DE0864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8B2F90E8-F91A-452F-8650-F1ED4693935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F255B90A-653A-426D-B547-8FD07760631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N24" authorId="20" shapeId="0" xr:uid="{4C868F8E-AAA4-4672-9915-FB27108FAF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1" shapeId="0" xr:uid="{D04EE888-4025-4930-B1A6-310B4F5C49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2" shapeId="0" xr:uid="{2252E8B2-0B46-4BD8-8F04-405C3837A67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3" shapeId="0" xr:uid="{5F046F64-437E-44BF-A46B-79AEC9B4AC2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tc={38615B91-1934-4A36-82BB-03B4C81C9FDD}</author>
    <author>tc={CE4B9CC0-26A6-43F9-909B-F97BECF9E8A4}</author>
    <author>tc={CF05D56F-2841-4BFF-8018-36B0498E6624}</author>
    <author>tc={2B7CD918-49C8-4CD0-81C1-5C72A81F252D}</author>
    <author>tc={921894C7-A67F-4BEC-9CBC-1FC22C545167}</author>
    <author>tc={15A1D9AE-4923-4FC4-88F2-6FE9B266C9C5}</author>
    <author>tc={1F9E1606-8A7E-4222-B7F9-DE412E0F769B}</author>
    <author>tc={F1722995-B4E9-450B-8390-E7ECB2DAF747}</author>
    <author>tc={1A4A8669-2E18-4119-AB3B-1EFE3E21E598}</author>
    <author>tc={A14D040E-B17B-4108-9E0E-5A52CA1CE100}</author>
    <author>tc={1EBF12E4-48E2-4184-98A5-0709BB452EE4}</author>
    <author>tc={C57CB7C8-386A-4B80-84B4-FD47430BB73A}</author>
    <author>tc={42C33957-42DF-4A7D-8EEE-5B3AC35D53DF}</author>
    <author>tc={69C7FABE-4615-4AC3-A887-92F6F73F3CB8}</author>
    <author>tc={DD8874A2-81B8-49E5-893E-4776C61756CA}</author>
    <author>tc={68BEEF3E-AD63-4DD7-9499-4DF2A3F03B16}</author>
    <author>tc={6FE25432-79DB-4F50-8862-40293E283D7C}</author>
    <author>tc={A7C4DE3D-7A6C-4D76-9392-70E659ACE076}</author>
    <author>tc={6796E04D-84C5-4C1B-9F8C-9461E74C4F0E}</author>
    <author>tc={B8D3D311-A8B7-4D92-B07F-D64FCE51A30E}</author>
    <author>tc={A870CE62-89BE-4D7A-BA99-18DC63F4FBB7}</author>
    <author>tc={52F84A30-0D5F-44F5-BDD8-201727AD22CC}</author>
    <author>tc={BDAE7E0F-3834-4DDA-82A7-794C60561090}</author>
    <author>tc={A86FFCDD-8B89-4CE6-82D1-0C03220B9738}</author>
  </authors>
  <commentList>
    <comment ref="B3" authorId="0" shapeId="0" xr:uid="{38615B91-1934-4A36-82BB-03B4C81C9FD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CE4B9CC0-26A6-43F9-909B-F97BECF9E8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C4" authorId="2" shapeId="0" xr:uid="{CF05D56F-2841-4BFF-8018-36B0498E662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Choisissez la configuration de l'avion soit :
Catégorie A pour une utilisation Voltige
ou Catégorie U pour une utilisation normale.</t>
      </text>
    </comment>
    <comment ref="B8" authorId="3" shapeId="0" xr:uid="{2B7CD918-49C8-4CD0-81C1-5C72A81F252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E8" authorId="4" shapeId="0" xr:uid="{921894C7-A67F-4BEC-9CBC-1FC22C54516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Compris entre 0,55 &amp; 0,65. Par défaut moyenne prise en compte 0,6</t>
      </text>
    </comment>
    <comment ref="M8" authorId="5" shapeId="0" xr:uid="{15A1D9AE-4923-4FC4-88F2-6FE9B266C9C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principal.
Entre parenthèse figure le litrage maximum admissible dans le réservoir.</t>
      </text>
    </comment>
    <comment ref="B9" authorId="6" shapeId="0" xr:uid="{1F9E1606-8A7E-4222-B7F9-DE412E0F769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E9" authorId="7" shapeId="0" xr:uid="{F1722995-B4E9-450B-8390-E7ECB2DAF74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du siège avant
En fonction de la position des sièges avant (Avant, mileiu, arrière) Compris entre 0,55 &amp; 0,65. Par défaut moyenne prise en compte 0,6</t>
      </text>
    </comment>
    <comment ref="M9" authorId="8" shapeId="0" xr:uid="{1A4A8669-2E18-4119-AB3B-1EFE3E21E5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secondaire.
Entre parenthèse figure le litrage maximum admissible dans le réservoir.</t>
      </text>
    </comment>
    <comment ref="B10" authorId="9" shapeId="0" xr:uid="{A14D040E-B17B-4108-9E0E-5A52CA1CE1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E10" authorId="10" shapeId="0" xr:uid="{1EBF12E4-48E2-4184-98A5-0709BB452EE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Bras de levier des bagages
En fonction de la position des bagages en avant ou en arrière du coffre.
Compris entre 1,2 &amp; 1,8. Par défaut moyenne prise en compte 1,5.</t>
      </text>
    </comment>
    <comment ref="H15" authorId="11" shapeId="0" xr:uid="{C57CB7C8-386A-4B80-84B4-FD47430BB73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H16" authorId="12" shapeId="0" xr:uid="{42C33957-42DF-4A7D-8EEE-5B3AC35D53D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16" authorId="13" shapeId="0" xr:uid="{69C7FABE-4615-4AC3-A887-92F6F73F3CB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H17" authorId="14" shapeId="0" xr:uid="{DD8874A2-81B8-49E5-893E-4776C61756C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17" authorId="15" shapeId="0" xr:uid="{68BEEF3E-AD63-4DD7-9499-4DF2A3F03B1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6" shapeId="0" xr:uid="{6FE25432-79DB-4F50-8862-40293E283D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7" shapeId="0" xr:uid="{A7C4DE3D-7A6C-4D76-9392-70E659ACE0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8" shapeId="0" xr:uid="{6796E04D-84C5-4C1B-9F8C-9461E74C4F0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9" shapeId="0" xr:uid="{B8D3D311-A8B7-4D92-B07F-D64FCE51A30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20" shapeId="0" xr:uid="{A870CE62-89BE-4D7A-BA99-18DC63F4FBB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21" shapeId="0" xr:uid="{52F84A30-0D5F-44F5-BDD8-201727AD22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2" shapeId="0" xr:uid="{BDAE7E0F-3834-4DDA-82A7-794C6056109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7" authorId="23" shapeId="0" xr:uid="{A86FFCDD-8B89-4CE6-82D1-0C03220B97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tc={56394C25-5D96-4146-BA1A-C550A28FD453}</author>
    <author>tc={4FA84749-291D-4560-9CB8-6C666669BBFD}</author>
    <author>tc={4EAC33CF-BD62-410B-AFBB-880DB460E1B5}</author>
    <author>tc={83FA3E0C-BF06-4DC7-9EB5-98B39D8CC1D8}</author>
    <author>tc={CD3A4C57-ED17-4DB7-A476-9C030AF8F068}</author>
    <author>tc={EB740C44-428A-4FD4-B18E-97E21B2244B1}</author>
    <author>tc={D96A60B3-FDB1-4BDE-A755-6B275FE2232C}</author>
    <author>tc={EF6BC9FF-CC28-4FE8-9F6C-CCAA236AD47C}</author>
    <author>tc={60C18090-20FF-4C2D-9C7C-B920300F28BF}</author>
    <author>tc={8CBEE5D7-E7A0-460C-906E-8524C68F65AD}</author>
    <author>tc={48CF39ED-2542-469D-876F-FB4CFC707FAE}</author>
    <author>tc={E85E46F5-D714-423B-8518-21CFE7D60548}</author>
    <author>tc={EB54EC12-8D79-4E08-A218-E92F96516CE1}</author>
    <author>tc={95A70E47-3FF4-4FA8-98F2-C991BE86484D}</author>
    <author>tc={0CBBD22E-C719-4D57-AB9A-2D9CF1ADCAF8}</author>
    <author>tc={F3DEA897-99BB-4CD1-859A-3634085CFC28}</author>
    <author>tc={4F7FE25A-E7FC-40B9-A0C2-4985F23F1E94}</author>
    <author>tc={C57052E8-3CA5-4015-9263-6C86F2499E95}</author>
    <author>tc={B74F70CD-49D8-4D2D-807B-926AD8088F1D}</author>
    <author>tc={00D1F7E1-8DA5-49D8-8B5E-45D13EA390B4}</author>
    <author>tc={6B1CD4FA-B66E-4BC6-AE08-6FD2D3109C7C}</author>
    <author>tc={5A7B5A1A-4EB9-46C9-A673-FE15CC174214}</author>
    <author>tc={F6334800-7038-4471-913A-C59DDCA314FE}</author>
    <author>tc={91388CE1-F4C5-4559-A366-BBAFDD4DCB4B}</author>
  </authors>
  <commentList>
    <comment ref="B3" authorId="0" shapeId="0" xr:uid="{56394C25-5D96-4146-BA1A-C550A28FD45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date Excel soit "jj/mm" et valider.
L'année en cours sera automatiquement prise en compte.
(Ex : 19/09 affichera 19/09/2020</t>
      </text>
    </comment>
    <comment ref="H3" authorId="1" shapeId="0" xr:uid="{4FA84749-291D-4560-9CB8-6C666669BBF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un format d'heure Excel soit "heure : minutes" (Ex : 11:25) et valider</t>
      </text>
    </comment>
    <comment ref="H6" authorId="2" shapeId="0" xr:uid="{4EAC33CF-BD62-410B-AFBB-880DB460E1B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
      </text>
    </comment>
    <comment ref="B8" authorId="3" shapeId="0" xr:uid="{83FA3E0C-BF06-4DC7-9EB5-98B39D8CC1D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CDB habillé</t>
      </text>
    </comment>
    <comment ref="H8" authorId="4" shapeId="0" xr:uid="{CD3A4C57-ED17-4DB7-A476-9C030AF8F06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la durée prévue en minute pour le trajet total.</t>
      </text>
    </comment>
    <comment ref="M8" authorId="5" shapeId="0" xr:uid="{EB740C44-428A-4FD4-B18E-97E21B2244B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droite.
Entre parenthèse figure le litrage maximum admissible dans le réservoir.</t>
      </text>
    </comment>
    <comment ref="B9" authorId="6" shapeId="0" xr:uid="{D96A60B3-FDB1-4BDE-A755-6B275FE2232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copilote habillé</t>
      </text>
    </comment>
    <comment ref="H9" authorId="7" shapeId="0" xr:uid="{EF6BC9FF-CC28-4FE8-9F6C-CCAA236AD4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Indiquez le nombre d'aérodromes prévus d'atterrir pendant le trajet.
Minimum 1 équivalent à l'aérodrome de destination.</t>
      </text>
    </comment>
    <comment ref="M9" authorId="8" shapeId="0" xr:uid="{60C18090-20FF-4C2D-9C7C-B920300F28B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la quantité de carburant existante dans le réservoir de l'aile gauche.
Entre parenthèse figure le litrage maximum admissible dans le réservoir.</t>
      </text>
    </comment>
    <comment ref="B10" authorId="9" shapeId="0" xr:uid="{8CBEE5D7-E7A0-460C-906E-8524C68F65A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1 habillé</t>
      </text>
    </comment>
    <comment ref="B11" authorId="10" shapeId="0" xr:uid="{48CF39ED-2542-469D-876F-FB4CFC707FA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Indiquer le poids du passager arrière 2 habillé</t>
      </text>
    </comment>
    <comment ref="B12" authorId="11" shapeId="0" xr:uid="{E85E46F5-D714-423B-8518-21CFE7D6054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Poids total des bagages</t>
      </text>
    </comment>
    <comment ref="M16" authorId="12" shapeId="0" xr:uid="{EB54EC12-8D79-4E08-A218-E92F96516C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Quantité nécessaire depuis l'aérodrome de départ jusqu'à celui d'arrivée sur le trajet le plus pénalisant à VP de croisière.</t>
      </text>
    </comment>
    <comment ref="M17" authorId="13" shapeId="0" xr:uid="{95A70E47-3FF4-4FA8-98F2-C991BE86484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Forfait de 10 mn de vol par aérodrome prévu permettant l'intégration et le tour de piste.</t>
      </text>
    </comment>
    <comment ref="M18" authorId="14" shapeId="0" xr:uid="{0CBBD22E-C719-4D57-AB9A-2D9CF1ADC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Total du carburant normalement consommé pendant le vol (1+2).</t>
      </text>
    </comment>
    <comment ref="M19" authorId="15" shapeId="0" xr:uid="{F3DEA897-99BB-4CD1-859A-3634085CFC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Sélectionnez  Jour ou Nuit en fonction du type de vol effectué.</t>
      </text>
    </comment>
    <comment ref="M20" authorId="16" shapeId="0" xr:uid="{4F7FE25A-E7FC-40B9-A0C2-4985F23F1E9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Réserve de 30 mn de vol de jour ou de 45 mn de nuit en croisière économique pour l'exploitation générale.</t>
      </text>
    </comment>
    <comment ref="M22" authorId="17" shapeId="0" xr:uid="{C57052E8-3CA5-4015-9263-6C86F2499E9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Consommation estimée lors du roulage correspondant à 10 mn de la consommation horaire moyenne.</t>
      </text>
    </comment>
    <comment ref="M23" authorId="18" shapeId="0" xr:uid="{B74F70CD-49D8-4D2D-807B-926AD8088F1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Pourcentage % de carburant supplémentaire pour assurer le délestage et le roulage (numérotées 1, 2 &amp; 4).</t>
      </text>
    </comment>
    <comment ref="M24" authorId="19" shapeId="0" xr:uid="{00D1F7E1-8DA5-49D8-8B5E-45D13EA390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N24" authorId="20" shapeId="0" xr:uid="{6B1CD4FA-B66E-4BC6-AE08-6FD2D3109C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nécessaire pour effectuer le vol spécifié dans le cartouche "Données du vol"</t>
      </text>
    </comment>
    <comment ref="M25" authorId="21" shapeId="0" xr:uid="{5A7B5A1A-4EB9-46C9-A673-FE15CC17421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consommation horaire moyenne finale inclus les différentes corrections (délestage &amp; roulage) excepté la réserve finale.</t>
      </text>
    </comment>
    <comment ref="M26" authorId="22" shapeId="0" xr:uid="{F6334800-7038-4471-913A-C59DDCA314F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 Le restant théorique total à l'arrivée correspond au total de carburant restant dans le réservoir y compris le non utilisable.</t>
      </text>
    </comment>
    <comment ref="M27" authorId="23" shapeId="0" xr:uid="{91388CE1-F4C5-4559-A366-BBAFDD4DCB4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Carburant exploitable restant à l'atterrissage
Si cette case s'allume en orange, il reste moins de 10 litres dans le ou les réservoirs réserve finale incluse indiquée au n°5 !
Si elle s'allume en rouge, l'emport carburant est insuffisant - DANGER !</t>
      </text>
    </comment>
  </commentList>
</comments>
</file>

<file path=xl/sharedStrings.xml><?xml version="1.0" encoding="utf-8"?>
<sst xmlns="http://schemas.openxmlformats.org/spreadsheetml/2006/main" count="1096" uniqueCount="264">
  <si>
    <t>Litres</t>
  </si>
  <si>
    <t>Avion vide :</t>
  </si>
  <si>
    <t>Moment</t>
  </si>
  <si>
    <t xml:space="preserve">Masse </t>
  </si>
  <si>
    <t>CDB :</t>
  </si>
  <si>
    <t>Co Pilote :</t>
  </si>
  <si>
    <t>Passager 1 :</t>
  </si>
  <si>
    <t>Passager 2 :</t>
  </si>
  <si>
    <t>Consommation minute :</t>
  </si>
  <si>
    <t>Moment
(m x kg)</t>
  </si>
  <si>
    <t>Bras
de levier</t>
  </si>
  <si>
    <t>Masse
(kg)</t>
  </si>
  <si>
    <t>TOTAL :</t>
  </si>
  <si>
    <t>Bras de
levier</t>
  </si>
  <si>
    <t>Jour</t>
  </si>
  <si>
    <t>Nuit</t>
  </si>
  <si>
    <t>Date de la fiche de pesée :</t>
  </si>
  <si>
    <t>Date du vol :</t>
  </si>
  <si>
    <t>Signature :</t>
  </si>
  <si>
    <t>Commandant de bord</t>
  </si>
  <si>
    <t>Données graphe 2 :</t>
  </si>
  <si>
    <t>Durée du vol prévue en mn :</t>
  </si>
  <si>
    <t>Aérodromes sur le parcours prévus :</t>
  </si>
  <si>
    <t>Carburant principal :</t>
  </si>
  <si>
    <t>Conso/mn</t>
  </si>
  <si>
    <t>Nbre litres</t>
  </si>
  <si>
    <t>Nbre minutes</t>
  </si>
  <si>
    <t xml:space="preserve">Nombre heures </t>
  </si>
  <si>
    <t>Nbre mn</t>
  </si>
  <si>
    <t>Conso. horaire moy. à 65% :</t>
  </si>
  <si>
    <t>POIDS MAXIMUM AUTORISE</t>
  </si>
  <si>
    <t>Au décollage :</t>
  </si>
  <si>
    <t>A l'atterrissage :</t>
  </si>
  <si>
    <t>Réel</t>
  </si>
  <si>
    <t>Observations</t>
  </si>
  <si>
    <t>Date &amp; heure d'édition :</t>
  </si>
  <si>
    <t>Masse avion Max 1 :</t>
  </si>
  <si>
    <t>Masse avion Max 2 :</t>
  </si>
  <si>
    <t>Masse avion à vide 2 :</t>
  </si>
  <si>
    <t>Masse avion à vide 1 :</t>
  </si>
  <si>
    <t>Masse au décollage :</t>
  </si>
  <si>
    <t>Masse à l'atterrissage :</t>
  </si>
  <si>
    <t>03-CARBURANT EMBARQUE</t>
  </si>
  <si>
    <t>Vol de Jour ou de Nuit :</t>
  </si>
  <si>
    <t>Densité carburant JET A1:</t>
  </si>
  <si>
    <t>Principal (Max 110 L) :</t>
  </si>
  <si>
    <t>Conso. horaire moy. à 75% :</t>
  </si>
  <si>
    <t>Capacité Totale (Max 160 L) :</t>
  </si>
  <si>
    <t>DR400 - F-HIGI</t>
  </si>
  <si>
    <t>Capacité Totale (Max 120 L) :</t>
  </si>
  <si>
    <t>01-DEVIS DE MASSE &amp; CENTRAGE</t>
  </si>
  <si>
    <t>Capacité utilisable * :</t>
  </si>
  <si>
    <t>C172 - F-HAFL</t>
  </si>
  <si>
    <t>Capacité Totale (Max 212 L) :</t>
  </si>
  <si>
    <t>Conso. horaire moy. à 2.500 tr/mn :</t>
  </si>
  <si>
    <t>Bagages AV (54 kg) :</t>
  </si>
  <si>
    <t>Masse sans carburant :</t>
  </si>
  <si>
    <t>Carburant :</t>
  </si>
  <si>
    <t>Graphique (Masse / Moment)</t>
  </si>
  <si>
    <t>Graphique (Masse / Bras de levier)</t>
  </si>
  <si>
    <t>Carburant total :</t>
  </si>
  <si>
    <t>Capacité Totale (Max 318 L) :</t>
  </si>
  <si>
    <t>Réservoir Droit (Max 159 L) :</t>
  </si>
  <si>
    <t>Réservoir Gauche (Max 159 L) :</t>
  </si>
  <si>
    <t>Enveloppe / Centrage</t>
  </si>
  <si>
    <t>UTILISATION</t>
  </si>
  <si>
    <t>REMARQUES</t>
  </si>
  <si>
    <t>Vous ne devez compléter que les cases bleutées</t>
  </si>
  <si>
    <t>Pilote AV :</t>
  </si>
  <si>
    <t>Pilote AR :</t>
  </si>
  <si>
    <t>Huile :</t>
  </si>
  <si>
    <t>Incluse dans la masse à vide</t>
  </si>
  <si>
    <t>Capacité Totale (Max 130 L) :</t>
  </si>
  <si>
    <t>Conso. horaire moyenne à 75% :</t>
  </si>
  <si>
    <t>Capacité d'emport restante :</t>
  </si>
  <si>
    <t>PA18 - F-GLLN</t>
  </si>
  <si>
    <t>Si un ou plusieurs indicateurs sont au ROUGE,
votre devis masse et centrage N'EST PAS BON !
(Comme sur le 2° exemple ci-dessous)</t>
  </si>
  <si>
    <t>Si tous les indicateurs sont au VERT,
votre devis masse et centrage EST BON !
(Comme sur le 1° exemple ci-contre)</t>
  </si>
  <si>
    <t>Carburant secondaire :</t>
  </si>
  <si>
    <t>Secondaire (Max 50 L) :</t>
  </si>
  <si>
    <t>Bagages (40 kg Max) :</t>
  </si>
  <si>
    <t>Point 2 :</t>
  </si>
  <si>
    <t>Point 3 :</t>
  </si>
  <si>
    <t>Point 4 :</t>
  </si>
  <si>
    <t>Point 5 :</t>
  </si>
  <si>
    <t>Point 6 :</t>
  </si>
  <si>
    <t>Point 1 :</t>
  </si>
  <si>
    <t>Manuel Pilote</t>
  </si>
  <si>
    <r>
      <t xml:space="preserve">Ce document est libre d'utilisation et les erreurs de calculs que vous pourriez générer avec ce simulateur, pouvant mettre en cause la sécurité de votre vol, ne pourraient pas être imputées à l'auteur de ce simulateur.
Si vous constatez des erreurs, merci de contacter l'aéroclub à l'adresse email ci-dessous.
</t>
    </r>
    <r>
      <rPr>
        <b/>
        <u/>
        <sz val="13"/>
        <color rgb="FFFF0000"/>
        <rFont val="Book Antiqua"/>
        <family val="1"/>
      </rPr>
      <t>NB :</t>
    </r>
    <r>
      <rPr>
        <sz val="13"/>
        <rFont val="Book Antiqua"/>
        <family val="1"/>
      </rPr>
      <t xml:space="preserve"> </t>
    </r>
    <r>
      <rPr>
        <sz val="13"/>
        <color rgb="FFFF0000"/>
        <rFont val="Book Antiqua"/>
        <family val="1"/>
      </rPr>
      <t>Le fichier est verrouillé pour des questions de sécurité et seules les personnes habilitées ont accès aux méthodes de calcul.</t>
    </r>
  </si>
  <si>
    <t>Poids décollage :</t>
  </si>
  <si>
    <t>Poids atterrissage</t>
  </si>
  <si>
    <t>Utilisable (MAX 109,6 L) * :</t>
  </si>
  <si>
    <t>Moment à l'atterrissage</t>
  </si>
  <si>
    <t>Masse Déco / Atterro</t>
  </si>
  <si>
    <t>Autonomie théorique</t>
  </si>
  <si>
    <t>Conso/mn :</t>
  </si>
  <si>
    <t>Nbre litres :</t>
  </si>
  <si>
    <t>Nbre minutes :</t>
  </si>
  <si>
    <t>Nombre heures :</t>
  </si>
  <si>
    <t>Nbre mn :</t>
  </si>
  <si>
    <t>Axe médian centrage haut :</t>
  </si>
  <si>
    <t>Axe médian centrage bas :</t>
  </si>
  <si>
    <t>1-Destination :</t>
  </si>
  <si>
    <t>2-Procédure :</t>
  </si>
  <si>
    <t>AQUILA - F-GRFY</t>
  </si>
  <si>
    <t>Bras de levier</t>
  </si>
  <si>
    <t>Masse (kg)</t>
  </si>
  <si>
    <t>Moment (m x kg)</t>
  </si>
  <si>
    <t>Résultats au décollage :</t>
  </si>
  <si>
    <t>Résultats à l'atterrissage :</t>
  </si>
  <si>
    <t>Aile Gauche (Max 65 L) :</t>
  </si>
  <si>
    <t>Aile Droite (Max 65 L) :</t>
  </si>
  <si>
    <t>Bagages (22 kg Max) :</t>
  </si>
  <si>
    <t>Masse/Moment au décollage :</t>
  </si>
  <si>
    <t>Masse/Moment à l'atterrissage :</t>
  </si>
  <si>
    <t>Masse/Bras Levier au décollage :</t>
  </si>
  <si>
    <t>Masse/Bras Levier à l'atterrissage :</t>
  </si>
  <si>
    <t>Bagages (Max 40 kg) :</t>
  </si>
  <si>
    <t>Densité carburant (100 LL) :</t>
  </si>
  <si>
    <t>Masse</t>
  </si>
  <si>
    <t>Bras levier</t>
  </si>
  <si>
    <t>Bagages (Max 59 kg) :</t>
  </si>
  <si>
    <t>Conso/mn/ bloc :</t>
  </si>
  <si>
    <t>Catégorie U</t>
  </si>
  <si>
    <t>Bagages (50 kg Max) :</t>
  </si>
  <si>
    <t>Enveloppe Catégorie U</t>
  </si>
  <si>
    <t>Principal (Max 72 L) :</t>
  </si>
  <si>
    <t>Capacité Totale (Max 150 L) :</t>
  </si>
  <si>
    <t>Utilisation de l'avion :</t>
  </si>
  <si>
    <t>Catégorie A</t>
  </si>
  <si>
    <t>CONFIGURATION VOLTIGE</t>
  </si>
  <si>
    <t>CONFIGURATION HORS VOLTIGE</t>
  </si>
  <si>
    <t>% MAC</t>
  </si>
  <si>
    <t>Enveloppe Catégorie A</t>
  </si>
  <si>
    <t>Pourcentage</t>
  </si>
  <si>
    <t>Pourcentage de la MAC :</t>
  </si>
  <si>
    <t>Centrage d'origine</t>
  </si>
  <si>
    <t>*** MAC : Corde Aérodynamique Moyenne</t>
  </si>
  <si>
    <t>Bras Levier</t>
  </si>
  <si>
    <t>Conso. horaire moy.finale :</t>
  </si>
  <si>
    <t>EXPLICATIONS SUR LA GESTION DU CARBURANT INTEGREE DANS LE DEVIS DE MASSE &amp; CENTRAGE</t>
  </si>
  <si>
    <t>Autonomie réelle</t>
  </si>
  <si>
    <t>Axe médian</t>
  </si>
  <si>
    <t>Délestage (1+2) :</t>
  </si>
  <si>
    <t>3-Réserve finale ** :</t>
  </si>
  <si>
    <t>4-Roulage :</t>
  </si>
  <si>
    <t>Carburant. Supplément. (2 à 4) :</t>
  </si>
  <si>
    <t>Autonomie de vol Théorique :</t>
  </si>
  <si>
    <t>Restant théorique total à l'arrivée :</t>
  </si>
  <si>
    <r>
      <rPr>
        <b/>
        <u/>
        <sz val="14"/>
        <color theme="0"/>
        <rFont val="Book Antiqua"/>
        <family val="1"/>
      </rPr>
      <t>Centrage :</t>
    </r>
    <r>
      <rPr>
        <sz val="14"/>
        <color theme="0"/>
        <rFont val="Book Antiqua"/>
        <family val="1"/>
      </rPr>
      <t xml:space="preserve"> Point 1 :</t>
    </r>
  </si>
  <si>
    <r>
      <t xml:space="preserve">L'exemple ci-contre vous explique comment utiliser le calculateur.
En reportant les éléments de votre log de nav (Durée prévue du vol, nombre d'aérodromes prévus en route et niveaux de vol, le calcul du carburant au bloc est automatiquement intégré et pris en compte dans le calcul masse et centrage pour l'atterrissage.
Une fois indiqué tous les éléments, si vous faites des erreurs qui impactent négativement le résultat, un message en </t>
    </r>
    <r>
      <rPr>
        <b/>
        <sz val="12"/>
        <color rgb="FFFF0000"/>
        <rFont val="Book Antiqua"/>
        <family val="1"/>
      </rPr>
      <t>ROUGE</t>
    </r>
    <r>
      <rPr>
        <sz val="12"/>
        <rFont val="Book Antiqua"/>
        <family val="1"/>
      </rPr>
      <t xml:space="preserve"> apparaît vous invitant à revoir vos éléments.</t>
    </r>
  </si>
  <si>
    <r>
      <t xml:space="preserve">PA 18 - </t>
    </r>
    <r>
      <rPr>
        <b/>
        <sz val="12"/>
        <color rgb="FFC00000"/>
        <rFont val="Book Antiqua"/>
        <family val="1"/>
      </rPr>
      <t>F-GLLN</t>
    </r>
  </si>
  <si>
    <r>
      <t xml:space="preserve">Cessna 152 - </t>
    </r>
    <r>
      <rPr>
        <b/>
        <sz val="12"/>
        <color rgb="FFC00000"/>
        <rFont val="Book Antiqua"/>
        <family val="1"/>
      </rPr>
      <t>F-GHLU</t>
    </r>
  </si>
  <si>
    <r>
      <t xml:space="preserve">Cessna 172 - </t>
    </r>
    <r>
      <rPr>
        <b/>
        <sz val="12"/>
        <color rgb="FFC00000"/>
        <rFont val="Book Antiqua"/>
        <family val="1"/>
      </rPr>
      <t>F-HAFL</t>
    </r>
  </si>
  <si>
    <r>
      <t xml:space="preserve">DR401 - </t>
    </r>
    <r>
      <rPr>
        <b/>
        <sz val="12"/>
        <color rgb="FFC00000"/>
        <rFont val="Book Antiqua"/>
        <family val="1"/>
      </rPr>
      <t>F-HIGI</t>
    </r>
  </si>
  <si>
    <r>
      <t xml:space="preserve">Aquila - </t>
    </r>
    <r>
      <rPr>
        <b/>
        <sz val="12"/>
        <color rgb="FFC00000"/>
        <rFont val="Book Antiqua"/>
        <family val="1"/>
      </rPr>
      <t>F-GRFY</t>
    </r>
  </si>
  <si>
    <r>
      <t xml:space="preserve">Aquila - </t>
    </r>
    <r>
      <rPr>
        <b/>
        <sz val="12"/>
        <color rgb="FFC00000"/>
        <rFont val="Book Antiqua"/>
        <family val="1"/>
      </rPr>
      <t>F-GDJR</t>
    </r>
  </si>
  <si>
    <r>
      <t xml:space="preserve">Cirrus SR22 GTS - </t>
    </r>
    <r>
      <rPr>
        <b/>
        <sz val="12"/>
        <color rgb="FFC00000"/>
        <rFont val="Book Antiqua"/>
        <family val="1"/>
      </rPr>
      <t>N576CD</t>
    </r>
  </si>
  <si>
    <t>UTILISATION DES DEVIS MASSE
&amp; CENTRAGE DES AVIONS DE L'ACBA</t>
  </si>
  <si>
    <t>Passagers AV :</t>
  </si>
  <si>
    <t>Passagers AR :</t>
  </si>
  <si>
    <t>TOTAUX :</t>
  </si>
  <si>
    <t>Carburant Ailes :</t>
  </si>
  <si>
    <t>Réservoir aile droite (Max 106 L) :</t>
  </si>
  <si>
    <t>Réservoir aile gauche (Max 106 L) :</t>
  </si>
  <si>
    <t>Réservoir aile gauche (Max 60 L) :</t>
  </si>
  <si>
    <t>Réservoir aile droite (Max 60 L) :</t>
  </si>
  <si>
    <t>Capacité Totale (Max 98 L) :</t>
  </si>
  <si>
    <t>Aile droite (Max 49 L) :</t>
  </si>
  <si>
    <t>Aile gauche (Max 49 L) :</t>
  </si>
  <si>
    <r>
      <rPr>
        <b/>
        <u/>
        <sz val="14"/>
        <color theme="1"/>
        <rFont val="Book Antiqua"/>
        <family val="1"/>
      </rPr>
      <t>Enveloppe :</t>
    </r>
    <r>
      <rPr>
        <sz val="14"/>
        <color theme="1"/>
        <rFont val="Book Antiqua"/>
        <family val="1"/>
      </rPr>
      <t xml:space="preserve"> Point 1 :</t>
    </r>
  </si>
  <si>
    <r>
      <t>Pourcentage de la MAC</t>
    </r>
    <r>
      <rPr>
        <b/>
        <sz val="14"/>
        <color theme="1"/>
        <rFont val="Book Antiqua"/>
        <family val="1"/>
      </rPr>
      <t xml:space="preserve"> *** :</t>
    </r>
  </si>
  <si>
    <t>Marc BIELSA</t>
  </si>
  <si>
    <t>Poids</t>
  </si>
  <si>
    <t>Longueur</t>
  </si>
  <si>
    <t>Température</t>
  </si>
  <si>
    <t>Distance</t>
  </si>
  <si>
    <t>Vitesse</t>
  </si>
  <si>
    <t>Kilogrammes</t>
  </si>
  <si>
    <t>Galons impérial</t>
  </si>
  <si>
    <t>Galons US</t>
  </si>
  <si>
    <t>Indiquez ici la valeur à convertir :</t>
  </si>
  <si>
    <t>Kt en Km/h</t>
  </si>
  <si>
    <t>Lb en Kg</t>
  </si>
  <si>
    <t>Kg en Lb</t>
  </si>
  <si>
    <t>M en ft</t>
  </si>
  <si>
    <t>Ft en m</t>
  </si>
  <si>
    <t>Cm en in</t>
  </si>
  <si>
    <t>In en cm</t>
  </si>
  <si>
    <t>Km en Nm</t>
  </si>
  <si>
    <t>Nm en Km</t>
  </si>
  <si>
    <t>Km en Mi</t>
  </si>
  <si>
    <t>Mi en Km</t>
  </si>
  <si>
    <t>° F en ° C</t>
  </si>
  <si>
    <t>°C en ° F</t>
  </si>
  <si>
    <t>AVGas</t>
  </si>
  <si>
    <t>JET A1</t>
  </si>
  <si>
    <t>L en Gal Imp</t>
  </si>
  <si>
    <t>Gal Imp en L</t>
  </si>
  <si>
    <t>L en Gal US</t>
  </si>
  <si>
    <t>Gal US en L</t>
  </si>
  <si>
    <t>Contenance</t>
  </si>
  <si>
    <t>diviser la valeur "vitesse" par 1,852</t>
  </si>
  <si>
    <t>multiplier la valeur "vitesse" par 1,852</t>
  </si>
  <si>
    <t>multiplier la valeur "masse" par 2,205</t>
  </si>
  <si>
    <t>diviser la valeur "masse" par 2,205</t>
  </si>
  <si>
    <t>multiplier la valeur "longueur" par 3,281</t>
  </si>
  <si>
    <t>diviser la valeur "longueur" par 3,281</t>
  </si>
  <si>
    <t>diviser la valeur "longueur" par 2,54</t>
  </si>
  <si>
    <t>multiplier la valeur "longueur" par 2,54</t>
  </si>
  <si>
    <t>multiplier la valeur "longueur" par 1,852</t>
  </si>
  <si>
    <t>diviser la valeur "longueur" par 1,852</t>
  </si>
  <si>
    <t>diviser la valeur "longueur" par 1,609</t>
  </si>
  <si>
    <t>multiplier la valeur "longueur" par 1,609</t>
  </si>
  <si>
    <t>(°F-32)*5/9</t>
  </si>
  <si>
    <t>(°C*9/5)+32</t>
  </si>
  <si>
    <t>Densité</t>
  </si>
  <si>
    <t>Lb</t>
  </si>
  <si>
    <t>Kg</t>
  </si>
  <si>
    <t>Jet A1</t>
  </si>
  <si>
    <t>L en Kg</t>
  </si>
  <si>
    <t>L en Lb</t>
  </si>
  <si>
    <t xml:space="preserve">Densité 0,72 : (L*0,72)*2,205 </t>
  </si>
  <si>
    <t>Densité 0,72 : L*0,72</t>
  </si>
  <si>
    <t>Densité 0,8 : L*0,72</t>
  </si>
  <si>
    <t xml:space="preserve">Densité 0,8 : (L*0,8)*2,205 </t>
  </si>
  <si>
    <t>diviser la valeur "volume" par 4,546</t>
  </si>
  <si>
    <t>multiplier la valeur "volume" par 1,201</t>
  </si>
  <si>
    <t>diviser la valeur "volume" par 3,785</t>
  </si>
  <si>
    <t>multiplier la valeur "volume" par 3,785</t>
  </si>
  <si>
    <t>Km/h en Kt/h</t>
  </si>
  <si>
    <t>CONVERTISSEUR DE DONNEES</t>
  </si>
  <si>
    <r>
      <t xml:space="preserve">Cap10 - </t>
    </r>
    <r>
      <rPr>
        <b/>
        <sz val="12"/>
        <color rgb="FFC00000"/>
        <rFont val="Book Antiqua"/>
        <family val="1"/>
      </rPr>
      <t>F-GDTF</t>
    </r>
  </si>
  <si>
    <t>Indic.</t>
  </si>
  <si>
    <t>Transparent</t>
  </si>
  <si>
    <t>Etiquette</t>
  </si>
  <si>
    <t>Sup</t>
  </si>
  <si>
    <t>Bas</t>
  </si>
  <si>
    <t>Principal</t>
  </si>
  <si>
    <t>Secondaire</t>
  </si>
  <si>
    <t>Haut</t>
  </si>
  <si>
    <t>Gal US</t>
  </si>
  <si>
    <t>Aile droite</t>
  </si>
  <si>
    <t>Aile gauche</t>
  </si>
  <si>
    <t>Heure prévue du début du vol :</t>
  </si>
  <si>
    <t>Ce fichier regroupe les devis de masse et centrage des 10 avions de l'aéroclub du Bassin d'Arcachon.
Les éléments sont extraits du manuel avion de chaque appareil et des dernières fiches de pesées.</t>
  </si>
  <si>
    <t>DEVIS MASSE CENTRAGE &amp; CARBURANT PA18 - F-GLLN - 100 CV</t>
  </si>
  <si>
    <t>DEVIS MASSE CENTRAGE &amp; CARBURANT C152 - F-GHLU - 110 CV</t>
  </si>
  <si>
    <t>DEVIS MASSE CENTRAGE &amp; CARBURANT C172 - F-HAFL - 180 CV</t>
  </si>
  <si>
    <t>DEVIS MASSE CENTRAGE &amp; CARBURANT DR401 - F-HIGI - 155 CV</t>
  </si>
  <si>
    <t>DEVIS MASSE CENTRAGE &amp; CARBURANT AQUILA - F-GRFY - 100 CV</t>
  </si>
  <si>
    <t>DEVIS MASSE CENTRAGE &amp; CARBURANT AQUILA - F-HDJR - 100 CV</t>
  </si>
  <si>
    <t>DEVIS MASSE CENTRAGE &amp; CARBURANT CIRRUS SR22 GTS - N576CD - 310 CV</t>
  </si>
  <si>
    <t>DEVIS MASSE CENTRAGE &amp; CARBURANT CAP10 (Catégorie A ou U) - F-GDTF - 180 CV</t>
  </si>
  <si>
    <t>Carburant. Supplément. (2 &amp; 4) :</t>
  </si>
  <si>
    <t>Capacité Totale (Max 336 L) :</t>
  </si>
  <si>
    <t>Réservoir Droit (Max 168 L) :</t>
  </si>
  <si>
    <t>Réservoir Gauche (Max 168 L) :</t>
  </si>
  <si>
    <t>Capacité utilisable (Max 326 L)* :</t>
  </si>
  <si>
    <t>Bagages (Max 65 kg) :</t>
  </si>
  <si>
    <t>DEVIS MASSE CENTRAGE &amp; CARBURANT TB20 TRINIDAD - F-GNCL</t>
  </si>
  <si>
    <r>
      <t xml:space="preserve">TB 20 Socata - </t>
    </r>
    <r>
      <rPr>
        <b/>
        <sz val="12"/>
        <color rgb="FFC00000"/>
        <rFont val="Book Antiqua"/>
        <family val="1"/>
      </rPr>
      <t>F-GNCL</t>
    </r>
  </si>
  <si>
    <r>
      <rPr>
        <b/>
        <u/>
        <sz val="16"/>
        <color theme="0"/>
        <rFont val="Book Antiqua"/>
        <family val="1"/>
      </rPr>
      <t>Centrage :</t>
    </r>
    <r>
      <rPr>
        <sz val="16"/>
        <color theme="0"/>
        <rFont val="Book Antiqua"/>
        <family val="1"/>
      </rPr>
      <t xml:space="preserve"> Point 1 :</t>
    </r>
  </si>
  <si>
    <r>
      <t xml:space="preserve">Restant théorique </t>
    </r>
    <r>
      <rPr>
        <b/>
        <u/>
        <sz val="14"/>
        <color theme="9" tint="-0.499984740745262"/>
        <rFont val="Book Antiqua"/>
        <family val="1"/>
      </rPr>
      <t>exploitable</t>
    </r>
    <r>
      <rPr>
        <sz val="14"/>
        <color theme="1"/>
        <rFont val="Book Antiqua"/>
        <family val="1"/>
      </rPr>
      <t xml:space="preserve"> à l'arrivée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</si>
</sst>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0.000"/>
    <numFmt numFmtId="165" formatCode="#,##0.000"/>
    <numFmt numFmtId="166" formatCode="0_/\L"/>
    <numFmt numFmtId="167" formatCode="0.00_/\L"/>
    <numFmt numFmtId="168" formatCode="0&quot; mn&quot;"/>
    <numFmt numFmtId="169" formatCode="[$-F800]dddd\,\ mmmm\ dd\,\ yyyy"/>
    <numFmt numFmtId="170" formatCode="h:mm;@"/>
    <numFmt numFmtId="171" formatCode="#,##0&quot; kg&quot;"/>
    <numFmt numFmtId="172" formatCode="0.0_/\L"/>
    <numFmt numFmtId="173" formatCode="&quot;* &quot;0.0&quot; L de carburant non utilisables&quot;"/>
    <numFmt numFmtId="174" formatCode="#,##0.0"/>
    <numFmt numFmtId="175" formatCode="&quot;+&quot;0%"/>
    <numFmt numFmtId="176" formatCode="0.00&quot; L&quot;"/>
    <numFmt numFmtId="177" formatCode="0&quot; kg&quot;"/>
    <numFmt numFmtId="178" formatCode="0.0000"/>
    <numFmt numFmtId="179" formatCode="0.000&quot; m&quot;"/>
    <numFmt numFmtId="180" formatCode="#,000&quot; kg&quot;"/>
    <numFmt numFmtId="181" formatCode="#,#00&quot; kg&quot;"/>
    <numFmt numFmtId="182" formatCode="&quot;Maxi &quot;0&quot; L&quot;"/>
    <numFmt numFmtId="183" formatCode="0&quot; L&quot;"/>
    <numFmt numFmtId="184" formatCode="&quot;Autonomie : &quot;00000"/>
    <numFmt numFmtId="185" formatCode="0.00&quot; Gal US&quot;"/>
    <numFmt numFmtId="186" formatCode="0.0&quot; L&quot;"/>
    <numFmt numFmtId="187" formatCode="0.0"/>
    <numFmt numFmtId="188" formatCode="#,##0.0000"/>
  </numFmts>
  <fonts count="55" x14ac:knownFonts="1">
    <font>
      <sz val="10"/>
      <name val="Arial"/>
      <family val="2"/>
    </font>
    <font>
      <b/>
      <sz val="14"/>
      <name val="Book Antiqua"/>
      <family val="1"/>
    </font>
    <font>
      <sz val="14"/>
      <name val="Book Antiqua"/>
      <family val="1"/>
    </font>
    <font>
      <b/>
      <sz val="14"/>
      <color indexed="9"/>
      <name val="Book Antiqua"/>
      <family val="1"/>
    </font>
    <font>
      <b/>
      <sz val="14"/>
      <color rgb="FF002060"/>
      <name val="Book Antiqua"/>
      <family val="1"/>
    </font>
    <font>
      <b/>
      <sz val="14"/>
      <color theme="0"/>
      <name val="Book Antiqua"/>
      <family val="1"/>
    </font>
    <font>
      <sz val="14"/>
      <color theme="0"/>
      <name val="Book Antiqua"/>
      <family val="1"/>
    </font>
    <font>
      <sz val="14"/>
      <color rgb="FF002060"/>
      <name val="Book Antiqua"/>
      <family val="1"/>
    </font>
    <font>
      <sz val="16"/>
      <name val="Book Antiqua"/>
      <family val="1"/>
    </font>
    <font>
      <b/>
      <sz val="16"/>
      <color theme="0"/>
      <name val="Book Antiqua"/>
      <family val="1"/>
    </font>
    <font>
      <u/>
      <sz val="14"/>
      <name val="Book Antiqua"/>
      <family val="1"/>
    </font>
    <font>
      <sz val="14"/>
      <color theme="9" tint="-0.499984740745262"/>
      <name val="Book Antiqua"/>
      <family val="1"/>
    </font>
    <font>
      <sz val="16"/>
      <color theme="0"/>
      <name val="Book Antiqua"/>
      <family val="1"/>
    </font>
    <font>
      <b/>
      <sz val="14"/>
      <color theme="9" tint="-0.499984740745262"/>
      <name val="Book Antiqua"/>
      <family val="1"/>
    </font>
    <font>
      <sz val="14"/>
      <color rgb="FFFF0000"/>
      <name val="Book Antiqua"/>
      <family val="1"/>
    </font>
    <font>
      <b/>
      <sz val="14"/>
      <color theme="1"/>
      <name val="Book Antiqua"/>
      <family val="1"/>
    </font>
    <font>
      <sz val="14"/>
      <color rgb="FFC00000"/>
      <name val="Book Antiqua"/>
      <family val="1"/>
    </font>
    <font>
      <i/>
      <sz val="14"/>
      <color rgb="FF002060"/>
      <name val="Book Antiqua"/>
      <family val="1"/>
    </font>
    <font>
      <sz val="12"/>
      <color theme="0"/>
      <name val="Book Antiqua"/>
      <family val="1"/>
    </font>
    <font>
      <sz val="12"/>
      <color rgb="FF002060"/>
      <name val="Book Antiqua"/>
      <family val="1"/>
    </font>
    <font>
      <sz val="12"/>
      <name val="Book Antiqua"/>
      <family val="1"/>
    </font>
    <font>
      <sz val="8"/>
      <name val="Arial"/>
      <family val="2"/>
    </font>
    <font>
      <b/>
      <sz val="12"/>
      <color rgb="FFC00000"/>
      <name val="Book Antiqua"/>
      <family val="1"/>
    </font>
    <font>
      <b/>
      <sz val="13"/>
      <color rgb="FF002060"/>
      <name val="Book Antiqua"/>
      <family val="1"/>
    </font>
    <font>
      <b/>
      <sz val="13"/>
      <color theme="9" tint="-0.499984740745262"/>
      <name val="Book Antiqua"/>
      <family val="1"/>
    </font>
    <font>
      <b/>
      <sz val="13"/>
      <color theme="0"/>
      <name val="Book Antiqua"/>
      <family val="1"/>
    </font>
    <font>
      <sz val="13"/>
      <name val="Book Antiqua"/>
      <family val="1"/>
    </font>
    <font>
      <sz val="16"/>
      <color rgb="FFFF0000"/>
      <name val="Book Antiqua"/>
      <family val="1"/>
    </font>
    <font>
      <b/>
      <u/>
      <sz val="13"/>
      <color rgb="FFFF0000"/>
      <name val="Book Antiqua"/>
      <family val="1"/>
    </font>
    <font>
      <sz val="13"/>
      <color rgb="FFFF0000"/>
      <name val="Book Antiqua"/>
      <family val="1"/>
    </font>
    <font>
      <sz val="10"/>
      <name val="Arial"/>
      <family val="2"/>
    </font>
    <font>
      <b/>
      <sz val="18"/>
      <color theme="0"/>
      <name val="Book Antiqua"/>
      <family val="1"/>
    </font>
    <font>
      <u/>
      <sz val="14"/>
      <color theme="0"/>
      <name val="Book Antiqua"/>
      <family val="1"/>
    </font>
    <font>
      <b/>
      <u/>
      <sz val="14"/>
      <color theme="0"/>
      <name val="Book Antiqua"/>
      <family val="1"/>
    </font>
    <font>
      <b/>
      <sz val="12"/>
      <color rgb="FFFF0000"/>
      <name val="Book Antiqua"/>
      <family val="1"/>
    </font>
    <font>
      <b/>
      <sz val="14"/>
      <color rgb="FFFF0000"/>
      <name val="Book Antiqua"/>
      <family val="1"/>
    </font>
    <font>
      <sz val="16"/>
      <color rgb="FF002060"/>
      <name val="Book Antiqua"/>
      <family val="1"/>
    </font>
    <font>
      <u/>
      <sz val="14"/>
      <color rgb="FF002060"/>
      <name val="Book Antiqua"/>
      <family val="1"/>
    </font>
    <font>
      <b/>
      <u/>
      <sz val="10"/>
      <name val="Arial"/>
      <family val="2"/>
    </font>
    <font>
      <sz val="14"/>
      <color theme="1"/>
      <name val="Book Antiqua"/>
      <family val="1"/>
    </font>
    <font>
      <i/>
      <sz val="14"/>
      <color theme="1"/>
      <name val="Book Antiqua"/>
      <family val="1"/>
    </font>
    <font>
      <u/>
      <sz val="14"/>
      <color theme="1"/>
      <name val="Book Antiqua"/>
      <family val="1"/>
    </font>
    <font>
      <i/>
      <sz val="14"/>
      <name val="Book Antiqua"/>
      <family val="1"/>
    </font>
    <font>
      <b/>
      <u/>
      <sz val="14"/>
      <color theme="1"/>
      <name val="Book Antiqua"/>
      <family val="1"/>
    </font>
    <font>
      <b/>
      <sz val="18"/>
      <color rgb="FF002060"/>
      <name val="Book Antiqua"/>
      <family val="1"/>
    </font>
    <font>
      <u/>
      <sz val="16"/>
      <name val="Book Antiqua"/>
      <family val="1"/>
    </font>
    <font>
      <u/>
      <sz val="14"/>
      <color rgb="FFFF0000"/>
      <name val="Book Antiqua"/>
      <family val="1"/>
    </font>
    <font>
      <b/>
      <sz val="14"/>
      <color rgb="FFC00000"/>
      <name val="Book Antiqua"/>
      <family val="1"/>
    </font>
    <font>
      <u/>
      <sz val="14"/>
      <color rgb="FFC00000"/>
      <name val="Book Antiqua"/>
      <family val="1"/>
    </font>
    <font>
      <sz val="16"/>
      <color rgb="FFC00000"/>
      <name val="Book Antiqua"/>
      <family val="1"/>
    </font>
    <font>
      <b/>
      <sz val="16"/>
      <color rgb="FFC00000"/>
      <name val="Book Antiqua"/>
      <family val="1"/>
    </font>
    <font>
      <sz val="12"/>
      <color rgb="FFFF0000"/>
      <name val="Book Antiqua"/>
      <family val="1"/>
    </font>
    <font>
      <u/>
      <sz val="16"/>
      <color theme="0"/>
      <name val="Book Antiqua"/>
      <family val="1"/>
    </font>
    <font>
      <b/>
      <u/>
      <sz val="16"/>
      <color theme="0"/>
      <name val="Book Antiqua"/>
      <family val="1"/>
    </font>
    <font>
      <b/>
      <u/>
      <sz val="14"/>
      <color theme="9" tint="-0.499984740745262"/>
      <name val="Book Antiqua"/>
      <family val="1"/>
    </font>
  </fonts>
  <fills count="1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CCC"/>
        <bgColor indexed="64"/>
      </patternFill>
    </fill>
    <fill>
      <patternFill patternType="solid">
        <fgColor rgb="FFC0000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1"/>
        <bgColor indexed="64"/>
      </patternFill>
    </fill>
    <fill>
      <patternFill patternType="solid">
        <fgColor theme="7" tint="0.39997558519241921"/>
        <bgColor indexed="64"/>
      </patternFill>
    </fill>
  </fills>
  <borders count="250">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rgb="FF002060"/>
      </left>
      <right/>
      <top/>
      <bottom/>
      <diagonal/>
    </border>
    <border>
      <left style="medium">
        <color rgb="FF002060"/>
      </left>
      <right style="hair">
        <color rgb="FF002060"/>
      </right>
      <top style="hair">
        <color rgb="FF002060"/>
      </top>
      <bottom style="hair">
        <color rgb="FF002060"/>
      </bottom>
      <diagonal/>
    </border>
    <border>
      <left style="hair">
        <color rgb="FF002060"/>
      </left>
      <right style="medium">
        <color rgb="FF002060"/>
      </right>
      <top style="hair">
        <color rgb="FF002060"/>
      </top>
      <bottom style="hair">
        <color rgb="FF002060"/>
      </bottom>
      <diagonal/>
    </border>
    <border>
      <left style="medium">
        <color rgb="FF002060"/>
      </left>
      <right style="hair">
        <color rgb="FF002060"/>
      </right>
      <top style="hair">
        <color rgb="FF002060"/>
      </top>
      <bottom style="medium">
        <color rgb="FF002060"/>
      </bottom>
      <diagonal/>
    </border>
    <border>
      <left style="hair">
        <color rgb="FF002060"/>
      </left>
      <right style="medium">
        <color rgb="FF002060"/>
      </right>
      <top style="hair">
        <color rgb="FF002060"/>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style="hair">
        <color rgb="FF002060"/>
      </left>
      <right style="medium">
        <color rgb="FF002060"/>
      </right>
      <top/>
      <bottom style="hair">
        <color rgb="FF002060"/>
      </bottom>
      <diagonal/>
    </border>
    <border>
      <left/>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style="hair">
        <color rgb="FF002060"/>
      </right>
      <top style="medium">
        <color rgb="FF002060"/>
      </top>
      <bottom style="medium">
        <color rgb="FF002060"/>
      </bottom>
      <diagonal/>
    </border>
    <border>
      <left style="hair">
        <color rgb="FF002060"/>
      </left>
      <right style="medium">
        <color rgb="FF002060"/>
      </right>
      <top style="medium">
        <color rgb="FF002060"/>
      </top>
      <bottom style="medium">
        <color rgb="FF002060"/>
      </bottom>
      <diagonal/>
    </border>
    <border>
      <left style="hair">
        <color rgb="FF002060"/>
      </left>
      <right style="medium">
        <color rgb="FF002060"/>
      </right>
      <top style="hair">
        <color rgb="FF002060"/>
      </top>
      <bottom/>
      <diagonal/>
    </border>
    <border>
      <left style="hair">
        <color indexed="18"/>
      </left>
      <right style="hair">
        <color indexed="18"/>
      </right>
      <top/>
      <bottom/>
      <diagonal/>
    </border>
    <border>
      <left style="medium">
        <color rgb="FF002060"/>
      </left>
      <right/>
      <top style="medium">
        <color rgb="FF002060"/>
      </top>
      <bottom/>
      <diagonal/>
    </border>
    <border>
      <left style="hair">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medium">
        <color rgb="FF002060"/>
      </bottom>
      <diagonal/>
    </border>
    <border>
      <left style="hair">
        <color rgb="FF002060"/>
      </left>
      <right style="hair">
        <color rgb="FF002060"/>
      </right>
      <top/>
      <bottom style="hair">
        <color rgb="FF002060"/>
      </bottom>
      <diagonal/>
    </border>
    <border>
      <left style="hair">
        <color rgb="FF002060"/>
      </left>
      <right style="hair">
        <color rgb="FF002060"/>
      </right>
      <top style="medium">
        <color rgb="FF002060"/>
      </top>
      <bottom style="medium">
        <color rgb="FF002060"/>
      </bottom>
      <diagonal/>
    </border>
    <border>
      <left/>
      <right style="medium">
        <color rgb="FF002060"/>
      </right>
      <top/>
      <bottom/>
      <diagonal/>
    </border>
    <border>
      <left style="medium">
        <color rgb="FF002060"/>
      </left>
      <right/>
      <top style="hair">
        <color rgb="FF002060"/>
      </top>
      <bottom style="hair">
        <color rgb="FF002060"/>
      </bottom>
      <diagonal/>
    </border>
    <border>
      <left/>
      <right style="medium">
        <color rgb="FF002060"/>
      </right>
      <top style="medium">
        <color rgb="FF002060"/>
      </top>
      <bottom/>
      <diagonal/>
    </border>
    <border>
      <left style="hair">
        <color rgb="FF002060"/>
      </left>
      <right style="hair">
        <color rgb="FF002060"/>
      </right>
      <top style="medium">
        <color rgb="FF002060"/>
      </top>
      <bottom/>
      <diagonal/>
    </border>
    <border>
      <left style="hair">
        <color rgb="FF002060"/>
      </left>
      <right style="hair">
        <color rgb="FF002060"/>
      </right>
      <top style="hair">
        <color rgb="FF002060"/>
      </top>
      <bottom/>
      <diagonal/>
    </border>
    <border>
      <left/>
      <right style="hair">
        <color rgb="FF002060"/>
      </right>
      <top style="medium">
        <color rgb="FF002060"/>
      </top>
      <bottom style="hair">
        <color rgb="FF002060"/>
      </bottom>
      <diagonal/>
    </border>
    <border>
      <left/>
      <right style="hair">
        <color rgb="FF002060"/>
      </right>
      <top style="hair">
        <color rgb="FF002060"/>
      </top>
      <bottom style="hair">
        <color rgb="FF002060"/>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hair">
        <color rgb="FF002060"/>
      </left>
      <right style="medium">
        <color rgb="FF002060"/>
      </right>
      <top style="medium">
        <color rgb="FF002060"/>
      </top>
      <bottom style="hair">
        <color rgb="FF002060"/>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right style="hair">
        <color rgb="FF002060"/>
      </right>
      <top style="medium">
        <color rgb="FF002060"/>
      </top>
      <bottom style="medium">
        <color rgb="FF002060"/>
      </bottom>
      <diagonal/>
    </border>
    <border>
      <left/>
      <right style="hair">
        <color rgb="FF002060"/>
      </right>
      <top style="hair">
        <color rgb="FF002060"/>
      </top>
      <bottom/>
      <diagonal/>
    </border>
    <border>
      <left style="hair">
        <color indexed="64"/>
      </left>
      <right style="hair">
        <color indexed="64"/>
      </right>
      <top style="medium">
        <color indexed="64"/>
      </top>
      <bottom/>
      <diagonal/>
    </border>
    <border>
      <left style="hair">
        <color rgb="FF002060"/>
      </left>
      <right style="hair">
        <color rgb="FF002060"/>
      </right>
      <top style="thin">
        <color indexed="18"/>
      </top>
      <bottom style="hair">
        <color rgb="FF002060"/>
      </bottom>
      <diagonal/>
    </border>
    <border>
      <left style="medium">
        <color rgb="FF002060"/>
      </left>
      <right style="hair">
        <color rgb="FF002060"/>
      </right>
      <top style="hair">
        <color rgb="FF002060"/>
      </top>
      <bottom/>
      <diagonal/>
    </border>
    <border>
      <left style="double">
        <color theme="9" tint="-0.499984740745262"/>
      </left>
      <right/>
      <top style="double">
        <color theme="9" tint="-0.499984740745262"/>
      </top>
      <bottom style="medium">
        <color theme="9" tint="-0.499984740745262"/>
      </bottom>
      <diagonal/>
    </border>
    <border>
      <left/>
      <right style="double">
        <color theme="9" tint="-0.499984740745262"/>
      </right>
      <top style="double">
        <color theme="9" tint="-0.499984740745262"/>
      </top>
      <bottom style="medium">
        <color theme="9" tint="-0.499984740745262"/>
      </bottom>
      <diagonal/>
    </border>
    <border>
      <left style="double">
        <color theme="9" tint="-0.499984740745262"/>
      </left>
      <right/>
      <top style="medium">
        <color theme="9" tint="-0.499984740745262"/>
      </top>
      <bottom style="double">
        <color theme="9" tint="-0.499984740745262"/>
      </bottom>
      <diagonal/>
    </border>
    <border>
      <left/>
      <right style="double">
        <color theme="9" tint="-0.499984740745262"/>
      </right>
      <top style="medium">
        <color theme="9" tint="-0.499984740745262"/>
      </top>
      <bottom style="double">
        <color theme="9" tint="-0.49998474074526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indexed="64"/>
      </left>
      <right style="hair">
        <color indexed="64"/>
      </right>
      <top/>
      <bottom style="hair">
        <color indexed="64"/>
      </bottom>
      <diagonal/>
    </border>
    <border>
      <left style="hair">
        <color rgb="FF002060"/>
      </left>
      <right/>
      <top style="hair">
        <color rgb="FF002060"/>
      </top>
      <bottom style="hair">
        <color rgb="FF002060"/>
      </bottom>
      <diagonal/>
    </border>
    <border>
      <left style="medium">
        <color theme="1"/>
      </left>
      <right/>
      <top style="medium">
        <color theme="1"/>
      </top>
      <bottom style="medium">
        <color rgb="FF002060"/>
      </bottom>
      <diagonal/>
    </border>
    <border>
      <left/>
      <right/>
      <top style="medium">
        <color theme="1"/>
      </top>
      <bottom style="medium">
        <color rgb="FF002060"/>
      </bottom>
      <diagonal/>
    </border>
    <border>
      <left/>
      <right style="medium">
        <color theme="1"/>
      </right>
      <top style="medium">
        <color theme="1"/>
      </top>
      <bottom style="medium">
        <color rgb="FF002060"/>
      </bottom>
      <diagonal/>
    </border>
    <border>
      <left style="medium">
        <color theme="1"/>
      </left>
      <right style="hair">
        <color indexed="18"/>
      </right>
      <top/>
      <bottom/>
      <diagonal/>
    </border>
    <border>
      <left style="hair">
        <color indexed="18"/>
      </left>
      <right style="medium">
        <color theme="1"/>
      </right>
      <top/>
      <bottom/>
      <diagonal/>
    </border>
    <border>
      <left style="medium">
        <color theme="1"/>
      </left>
      <right/>
      <top style="hair">
        <color indexed="64"/>
      </top>
      <bottom style="hair">
        <color indexed="64"/>
      </bottom>
      <diagonal/>
    </border>
    <border>
      <left style="hair">
        <color indexed="64"/>
      </left>
      <right style="medium">
        <color theme="1"/>
      </right>
      <top style="hair">
        <color indexed="64"/>
      </top>
      <bottom style="hair">
        <color indexed="64"/>
      </bottom>
      <diagonal/>
    </border>
    <border>
      <left style="medium">
        <color theme="1"/>
      </left>
      <right style="hair">
        <color indexed="64"/>
      </right>
      <top style="hair">
        <color indexed="64"/>
      </top>
      <bottom style="hair">
        <color indexed="64"/>
      </bottom>
      <diagonal/>
    </border>
    <border>
      <left style="medium">
        <color theme="1"/>
      </left>
      <right/>
      <top style="hair">
        <color indexed="64"/>
      </top>
      <bottom style="medium">
        <color theme="1"/>
      </bottom>
      <diagonal/>
    </border>
    <border>
      <left/>
      <right/>
      <top style="hair">
        <color indexed="64"/>
      </top>
      <bottom style="medium">
        <color theme="1"/>
      </bottom>
      <diagonal/>
    </border>
    <border>
      <left/>
      <right style="medium">
        <color theme="1"/>
      </right>
      <top style="hair">
        <color indexed="64"/>
      </top>
      <bottom style="medium">
        <color theme="1"/>
      </bottom>
      <diagonal/>
    </border>
    <border>
      <left style="medium">
        <color theme="1"/>
      </left>
      <right/>
      <top style="medium">
        <color theme="1"/>
      </top>
      <bottom style="hair">
        <color indexed="64"/>
      </bottom>
      <diagonal/>
    </border>
    <border>
      <left style="hair">
        <color indexed="64"/>
      </left>
      <right style="hair">
        <color indexed="64"/>
      </right>
      <top style="medium">
        <color theme="1"/>
      </top>
      <bottom/>
      <diagonal/>
    </border>
    <border>
      <left style="hair">
        <color indexed="64"/>
      </left>
      <right style="hair">
        <color indexed="64"/>
      </right>
      <top style="medium">
        <color theme="1"/>
      </top>
      <bottom style="hair">
        <color indexed="64"/>
      </bottom>
      <diagonal/>
    </border>
    <border>
      <left style="hair">
        <color indexed="64"/>
      </left>
      <right style="medium">
        <color theme="1"/>
      </right>
      <top style="medium">
        <color theme="1"/>
      </top>
      <bottom style="hair">
        <color indexed="64"/>
      </bottom>
      <diagonal/>
    </border>
    <border>
      <left style="medium">
        <color theme="1"/>
      </left>
      <right style="hair">
        <color rgb="FF002060"/>
      </right>
      <top style="medium">
        <color theme="1"/>
      </top>
      <bottom style="medium">
        <color theme="1"/>
      </bottom>
      <diagonal/>
    </border>
    <border>
      <left/>
      <right style="hair">
        <color indexed="64"/>
      </right>
      <top style="medium">
        <color theme="1"/>
      </top>
      <bottom style="medium">
        <color theme="1"/>
      </bottom>
      <diagonal/>
    </border>
    <border>
      <left style="hair">
        <color indexed="64"/>
      </left>
      <right style="hair">
        <color indexed="64"/>
      </right>
      <top style="medium">
        <color theme="1"/>
      </top>
      <bottom style="medium">
        <color theme="1"/>
      </bottom>
      <diagonal/>
    </border>
    <border>
      <left style="hair">
        <color indexed="64"/>
      </left>
      <right style="medium">
        <color theme="1"/>
      </right>
      <top style="medium">
        <color theme="1"/>
      </top>
      <bottom style="medium">
        <color theme="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theme="1"/>
      </left>
      <right style="medium">
        <color theme="1"/>
      </right>
      <top style="medium">
        <color theme="1"/>
      </top>
      <bottom style="medium">
        <color theme="1"/>
      </bottom>
      <diagonal/>
    </border>
    <border>
      <left style="medium">
        <color theme="1"/>
      </left>
      <right style="hair">
        <color theme="1"/>
      </right>
      <top style="medium">
        <color theme="1"/>
      </top>
      <bottom style="hair">
        <color theme="1"/>
      </bottom>
      <diagonal/>
    </border>
    <border>
      <left style="hair">
        <color theme="1"/>
      </left>
      <right style="hair">
        <color theme="1"/>
      </right>
      <top style="medium">
        <color theme="1"/>
      </top>
      <bottom style="hair">
        <color theme="1"/>
      </bottom>
      <diagonal/>
    </border>
    <border>
      <left style="hair">
        <color theme="1"/>
      </left>
      <right style="medium">
        <color theme="1"/>
      </right>
      <top style="medium">
        <color theme="1"/>
      </top>
      <bottom style="hair">
        <color theme="1"/>
      </bottom>
      <diagonal/>
    </border>
    <border>
      <left style="medium">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medium">
        <color theme="1"/>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style="hair">
        <color theme="1"/>
      </left>
      <right style="medium">
        <color theme="1"/>
      </right>
      <top style="hair">
        <color theme="1"/>
      </top>
      <bottom style="medium">
        <color theme="1"/>
      </bottom>
      <diagonal/>
    </border>
    <border>
      <left style="medium">
        <color theme="1"/>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medium">
        <color theme="1"/>
      </right>
      <top/>
      <bottom style="hair">
        <color theme="1"/>
      </bottom>
      <diagonal/>
    </border>
    <border>
      <left style="medium">
        <color theme="1"/>
      </left>
      <right style="hair">
        <color theme="1"/>
      </right>
      <top style="medium">
        <color theme="1"/>
      </top>
      <bottom style="medium">
        <color theme="1"/>
      </bottom>
      <diagonal/>
    </border>
    <border>
      <left style="hair">
        <color theme="1"/>
      </left>
      <right style="hair">
        <color theme="1"/>
      </right>
      <top style="medium">
        <color theme="1"/>
      </top>
      <bottom style="medium">
        <color theme="1"/>
      </bottom>
      <diagonal/>
    </border>
    <border>
      <left style="hair">
        <color theme="1"/>
      </left>
      <right style="medium">
        <color theme="1"/>
      </right>
      <top style="medium">
        <color theme="1"/>
      </top>
      <bottom style="medium">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style="hair">
        <color rgb="FF002060"/>
      </right>
      <top style="medium">
        <color theme="1"/>
      </top>
      <bottom style="medium">
        <color rgb="FF002060"/>
      </bottom>
      <diagonal/>
    </border>
    <border>
      <left style="hair">
        <color rgb="FF002060"/>
      </left>
      <right style="hair">
        <color rgb="FF002060"/>
      </right>
      <top style="medium">
        <color theme="1"/>
      </top>
      <bottom style="medium">
        <color rgb="FF002060"/>
      </bottom>
      <diagonal/>
    </border>
    <border>
      <left style="hair">
        <color rgb="FF002060"/>
      </left>
      <right style="medium">
        <color theme="1"/>
      </right>
      <top style="medium">
        <color theme="1"/>
      </top>
      <bottom style="medium">
        <color rgb="FF002060"/>
      </bottom>
      <diagonal/>
    </border>
    <border>
      <left style="medium">
        <color theme="1"/>
      </left>
      <right/>
      <top style="medium">
        <color rgb="FF002060"/>
      </top>
      <bottom style="medium">
        <color rgb="FF002060"/>
      </bottom>
      <diagonal/>
    </border>
    <border>
      <left style="hair">
        <color rgb="FF002060"/>
      </left>
      <right style="medium">
        <color theme="1"/>
      </right>
      <top style="medium">
        <color rgb="FF002060"/>
      </top>
      <bottom style="medium">
        <color rgb="FF002060"/>
      </bottom>
      <diagonal/>
    </border>
    <border>
      <left style="medium">
        <color theme="1"/>
      </left>
      <right style="hair">
        <color rgb="FF002060"/>
      </right>
      <top style="hair">
        <color rgb="FF002060"/>
      </top>
      <bottom style="hair">
        <color rgb="FF002060"/>
      </bottom>
      <diagonal/>
    </border>
    <border>
      <left style="hair">
        <color rgb="FF002060"/>
      </left>
      <right style="medium">
        <color theme="1"/>
      </right>
      <top/>
      <bottom style="hair">
        <color rgb="FF002060"/>
      </bottom>
      <diagonal/>
    </border>
    <border>
      <left style="medium">
        <color theme="1"/>
      </left>
      <right style="hair">
        <color rgb="FF002060"/>
      </right>
      <top style="hair">
        <color rgb="FF002060"/>
      </top>
      <bottom style="medium">
        <color theme="1"/>
      </bottom>
      <diagonal/>
    </border>
    <border>
      <left style="hair">
        <color rgb="FF002060"/>
      </left>
      <right style="hair">
        <color rgb="FF002060"/>
      </right>
      <top style="hair">
        <color rgb="FF002060"/>
      </top>
      <bottom style="medium">
        <color theme="1"/>
      </bottom>
      <diagonal/>
    </border>
    <border>
      <left style="hair">
        <color rgb="FF002060"/>
      </left>
      <right style="medium">
        <color theme="1"/>
      </right>
      <top style="hair">
        <color rgb="FF002060"/>
      </top>
      <bottom style="medium">
        <color theme="1"/>
      </bottom>
      <diagonal/>
    </border>
    <border>
      <left/>
      <right style="medium">
        <color theme="1"/>
      </right>
      <top style="medium">
        <color rgb="FF002060"/>
      </top>
      <bottom/>
      <diagonal/>
    </border>
    <border>
      <left style="medium">
        <color theme="1"/>
      </left>
      <right style="hair">
        <color rgb="FF002060"/>
      </right>
      <top/>
      <bottom style="hair">
        <color rgb="FF002060"/>
      </bottom>
      <diagonal/>
    </border>
    <border>
      <left style="hair">
        <color rgb="FF002060"/>
      </left>
      <right/>
      <top style="hair">
        <color rgb="FF002060"/>
      </top>
      <bottom style="medium">
        <color theme="1"/>
      </bottom>
      <diagonal/>
    </border>
    <border>
      <left style="medium">
        <color auto="1"/>
      </left>
      <right style="medium">
        <color theme="1"/>
      </right>
      <top style="hair">
        <color auto="1"/>
      </top>
      <bottom style="medium">
        <color theme="1"/>
      </bottom>
      <diagonal/>
    </border>
    <border>
      <left style="medium">
        <color auto="1"/>
      </left>
      <right style="medium">
        <color theme="1"/>
      </right>
      <top/>
      <bottom style="hair">
        <color auto="1"/>
      </bottom>
      <diagonal/>
    </border>
    <border>
      <left style="medium">
        <color theme="1"/>
      </left>
      <right/>
      <top style="medium">
        <color rgb="FF002060"/>
      </top>
      <bottom style="medium">
        <color theme="1"/>
      </bottom>
      <diagonal/>
    </border>
    <border>
      <left/>
      <right/>
      <top style="medium">
        <color rgb="FF002060"/>
      </top>
      <bottom style="medium">
        <color theme="1"/>
      </bottom>
      <diagonal/>
    </border>
    <border>
      <left style="medium">
        <color theme="1"/>
      </left>
      <right style="medium">
        <color theme="1"/>
      </right>
      <top style="hair">
        <color rgb="FF002060"/>
      </top>
      <bottom style="medium">
        <color theme="1"/>
      </bottom>
      <diagonal/>
    </border>
    <border>
      <left style="medium">
        <color theme="1"/>
      </left>
      <right style="hair">
        <color theme="1"/>
      </right>
      <top style="hair">
        <color theme="1"/>
      </top>
      <bottom/>
      <diagonal/>
    </border>
    <border>
      <left style="hair">
        <color theme="1"/>
      </left>
      <right style="hair">
        <color theme="1"/>
      </right>
      <top style="hair">
        <color theme="1"/>
      </top>
      <bottom/>
      <diagonal/>
    </border>
    <border>
      <left style="hair">
        <color theme="1"/>
      </left>
      <right style="medium">
        <color theme="1"/>
      </right>
      <top style="hair">
        <color theme="1"/>
      </top>
      <bottom/>
      <diagonal/>
    </border>
    <border>
      <left/>
      <right style="hair">
        <color indexed="64"/>
      </right>
      <top/>
      <bottom style="medium">
        <color rgb="FF002060"/>
      </bottom>
      <diagonal/>
    </border>
    <border>
      <left style="hair">
        <color indexed="64"/>
      </left>
      <right style="hair">
        <color indexed="64"/>
      </right>
      <top/>
      <bottom style="medium">
        <color rgb="FF002060"/>
      </bottom>
      <diagonal/>
    </border>
    <border>
      <left style="hair">
        <color indexed="64"/>
      </left>
      <right style="medium">
        <color rgb="FF002060"/>
      </right>
      <top/>
      <bottom style="medium">
        <color rgb="FF002060"/>
      </bottom>
      <diagonal/>
    </border>
    <border>
      <left style="medium">
        <color theme="1"/>
      </left>
      <right style="hair">
        <color indexed="18"/>
      </right>
      <top style="medium">
        <color theme="1"/>
      </top>
      <bottom/>
      <diagonal/>
    </border>
    <border>
      <left style="hair">
        <color indexed="18"/>
      </left>
      <right style="hair">
        <color indexed="18"/>
      </right>
      <top style="medium">
        <color theme="1"/>
      </top>
      <bottom/>
      <diagonal/>
    </border>
    <border>
      <left style="hair">
        <color indexed="18"/>
      </left>
      <right style="medium">
        <color theme="1"/>
      </right>
      <top style="medium">
        <color theme="1"/>
      </top>
      <bottom/>
      <diagonal/>
    </border>
    <border>
      <left style="medium">
        <color rgb="FF002060"/>
      </left>
      <right style="hair">
        <color rgb="FF002060"/>
      </right>
      <top/>
      <bottom style="medium">
        <color rgb="FF002060"/>
      </bottom>
      <diagonal/>
    </border>
    <border>
      <left/>
      <right style="hair">
        <color theme="1"/>
      </right>
      <top style="hair">
        <color theme="1"/>
      </top>
      <bottom style="hair">
        <color theme="1"/>
      </bottom>
      <diagonal/>
    </border>
    <border>
      <left style="hair">
        <color theme="1"/>
      </left>
      <right style="hair">
        <color theme="1"/>
      </right>
      <top style="medium">
        <color theme="1"/>
      </top>
      <bottom/>
      <diagonal/>
    </border>
    <border>
      <left style="medium">
        <color theme="1"/>
      </left>
      <right style="medium">
        <color theme="1"/>
      </right>
      <top style="medium">
        <color theme="1"/>
      </top>
      <bottom style="hair">
        <color theme="1"/>
      </bottom>
      <diagonal/>
    </border>
    <border>
      <left style="medium">
        <color theme="1"/>
      </left>
      <right style="medium">
        <color theme="1"/>
      </right>
      <top style="hair">
        <color theme="1"/>
      </top>
      <bottom style="hair">
        <color theme="1"/>
      </bottom>
      <diagonal/>
    </border>
    <border>
      <left style="medium">
        <color theme="1"/>
      </left>
      <right style="medium">
        <color theme="1"/>
      </right>
      <top style="hair">
        <color theme="1"/>
      </top>
      <bottom style="medium">
        <color theme="1"/>
      </bottom>
      <diagonal/>
    </border>
    <border>
      <left/>
      <right style="medium">
        <color theme="1"/>
      </right>
      <top style="medium">
        <color rgb="FF002060"/>
      </top>
      <bottom style="medium">
        <color rgb="FF002060"/>
      </bottom>
      <diagonal/>
    </border>
    <border>
      <left style="medium">
        <color theme="1"/>
      </left>
      <right style="hair">
        <color rgb="FF002060"/>
      </right>
      <top style="medium">
        <color theme="1"/>
      </top>
      <bottom/>
      <diagonal/>
    </border>
    <border>
      <left style="hair">
        <color rgb="FF002060"/>
      </left>
      <right style="hair">
        <color rgb="FF002060"/>
      </right>
      <top style="medium">
        <color theme="1"/>
      </top>
      <bottom/>
      <diagonal/>
    </border>
    <border>
      <left style="hair">
        <color rgb="FF002060"/>
      </left>
      <right style="medium">
        <color theme="1"/>
      </right>
      <top style="medium">
        <color theme="1"/>
      </top>
      <bottom/>
      <diagonal/>
    </border>
    <border>
      <left style="medium">
        <color theme="1"/>
      </left>
      <right/>
      <top style="medium">
        <color rgb="FF002060"/>
      </top>
      <bottom style="hair">
        <color rgb="FF002060"/>
      </bottom>
      <diagonal/>
    </border>
    <border>
      <left style="medium">
        <color theme="1"/>
      </left>
      <right/>
      <top style="hair">
        <color rgb="FF002060"/>
      </top>
      <bottom style="hair">
        <color rgb="FF002060"/>
      </bottom>
      <diagonal/>
    </border>
    <border>
      <left style="medium">
        <color theme="1"/>
      </left>
      <right/>
      <top style="hair">
        <color rgb="FF002060"/>
      </top>
      <bottom/>
      <diagonal/>
    </border>
    <border>
      <left style="hair">
        <color rgb="FF002060"/>
      </left>
      <right style="medium">
        <color theme="1"/>
      </right>
      <top/>
      <bottom/>
      <diagonal/>
    </border>
    <border>
      <left style="medium">
        <color theme="1"/>
      </left>
      <right style="hair">
        <color rgb="FF002060"/>
      </right>
      <top style="medium">
        <color rgb="FF002060"/>
      </top>
      <bottom style="hair">
        <color rgb="FF002060"/>
      </bottom>
      <diagonal/>
    </border>
    <border>
      <left style="hair">
        <color rgb="FF002060"/>
      </left>
      <right style="medium">
        <color theme="1"/>
      </right>
      <top style="medium">
        <color rgb="FF002060"/>
      </top>
      <bottom style="hair">
        <color rgb="FF002060"/>
      </bottom>
      <diagonal/>
    </border>
    <border>
      <left style="medium">
        <color theme="1"/>
      </left>
      <right style="hair">
        <color rgb="FF002060"/>
      </right>
      <top style="hair">
        <color rgb="FF002060"/>
      </top>
      <bottom style="medium">
        <color rgb="FF002060"/>
      </bottom>
      <diagonal/>
    </border>
    <border>
      <left style="hair">
        <color rgb="FF002060"/>
      </left>
      <right style="medium">
        <color theme="1"/>
      </right>
      <top style="hair">
        <color rgb="FF002060"/>
      </top>
      <bottom style="medium">
        <color rgb="FF002060"/>
      </bottom>
      <diagonal/>
    </border>
    <border>
      <left/>
      <right style="medium">
        <color theme="1"/>
      </right>
      <top style="medium">
        <color rgb="FF002060"/>
      </top>
      <bottom style="hair">
        <color rgb="FF002060"/>
      </bottom>
      <diagonal/>
    </border>
    <border>
      <left style="hair">
        <color rgb="FF002060"/>
      </left>
      <right style="medium">
        <color theme="1"/>
      </right>
      <top style="hair">
        <color rgb="FF002060"/>
      </top>
      <bottom style="hair">
        <color rgb="FF002060"/>
      </bottom>
      <diagonal/>
    </border>
    <border>
      <left/>
      <right style="medium">
        <color theme="1"/>
      </right>
      <top style="hair">
        <color rgb="FF002060"/>
      </top>
      <bottom style="hair">
        <color rgb="FF002060"/>
      </bottom>
      <diagonal/>
    </border>
    <border>
      <left style="medium">
        <color theme="1"/>
      </left>
      <right style="hair">
        <color rgb="FF002060"/>
      </right>
      <top style="medium">
        <color rgb="FF002060"/>
      </top>
      <bottom style="medium">
        <color rgb="FF002060"/>
      </bottom>
      <diagonal/>
    </border>
    <border>
      <left style="medium">
        <color theme="1"/>
      </left>
      <right style="hair">
        <color theme="1"/>
      </right>
      <top style="medium">
        <color rgb="FF002060"/>
      </top>
      <bottom style="hair">
        <color theme="1"/>
      </bottom>
      <diagonal/>
    </border>
    <border>
      <left style="hair">
        <color theme="1"/>
      </left>
      <right style="medium">
        <color theme="1"/>
      </right>
      <top style="medium">
        <color rgb="FF002060"/>
      </top>
      <bottom style="hair">
        <color theme="1"/>
      </bottom>
      <diagonal/>
    </border>
    <border>
      <left style="medium">
        <color theme="1"/>
      </left>
      <right style="hair">
        <color theme="1"/>
      </right>
      <top style="hair">
        <color theme="1"/>
      </top>
      <bottom style="medium">
        <color rgb="FF002060"/>
      </bottom>
      <diagonal/>
    </border>
    <border>
      <left style="hair">
        <color theme="1"/>
      </left>
      <right style="medium">
        <color theme="1"/>
      </right>
      <top style="hair">
        <color theme="1"/>
      </top>
      <bottom style="medium">
        <color rgb="FF002060"/>
      </bottom>
      <diagonal/>
    </border>
    <border>
      <left style="medium">
        <color theme="1"/>
      </left>
      <right/>
      <top style="hair">
        <color theme="1"/>
      </top>
      <bottom style="hair">
        <color theme="1"/>
      </bottom>
      <diagonal/>
    </border>
    <border>
      <left style="hair">
        <color theme="1"/>
      </left>
      <right style="hair">
        <color theme="1"/>
      </right>
      <top style="medium">
        <color rgb="FF002060"/>
      </top>
      <bottom style="hair">
        <color theme="1"/>
      </bottom>
      <diagonal/>
    </border>
    <border>
      <left style="medium">
        <color theme="1"/>
      </left>
      <right/>
      <top style="medium">
        <color rgb="FF002060"/>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hair">
        <color theme="1"/>
      </top>
      <bottom/>
      <diagonal/>
    </border>
    <border>
      <left style="medium">
        <color theme="1"/>
      </left>
      <right/>
      <top style="medium">
        <color theme="1"/>
      </top>
      <bottom style="hair">
        <color theme="1"/>
      </bottom>
      <diagonal/>
    </border>
    <border>
      <left style="medium">
        <color theme="1"/>
      </left>
      <right/>
      <top style="hair">
        <color theme="1"/>
      </top>
      <bottom style="medium">
        <color theme="1"/>
      </bottom>
      <diagonal/>
    </border>
    <border>
      <left style="medium">
        <color theme="1"/>
      </left>
      <right/>
      <top/>
      <bottom style="medium">
        <color rgb="FF002060"/>
      </bottom>
      <diagonal/>
    </border>
    <border>
      <left style="hair">
        <color rgb="FF002060"/>
      </left>
      <right style="medium">
        <color theme="1"/>
      </right>
      <top/>
      <bottom style="medium">
        <color rgb="FF002060"/>
      </bottom>
      <diagonal/>
    </border>
    <border>
      <left style="hair">
        <color rgb="FF002060"/>
      </left>
      <right style="hair">
        <color rgb="FF002060"/>
      </right>
      <top style="medium">
        <color theme="1"/>
      </top>
      <bottom style="medium">
        <color theme="1"/>
      </bottom>
      <diagonal/>
    </border>
    <border>
      <left style="hair">
        <color rgb="FF002060"/>
      </left>
      <right style="medium">
        <color theme="1"/>
      </right>
      <top style="medium">
        <color theme="1"/>
      </top>
      <bottom style="medium">
        <color theme="1"/>
      </bottom>
      <diagonal/>
    </border>
    <border>
      <left/>
      <right style="hair">
        <color rgb="FF002060"/>
      </right>
      <top style="medium">
        <color theme="1"/>
      </top>
      <bottom style="medium">
        <color theme="1"/>
      </bottom>
      <diagonal/>
    </border>
    <border>
      <left style="medium">
        <color theme="1"/>
      </left>
      <right style="medium">
        <color theme="1"/>
      </right>
      <top style="medium">
        <color theme="1"/>
      </top>
      <bottom style="hair">
        <color rgb="FF002060"/>
      </bottom>
      <diagonal/>
    </border>
    <border>
      <left style="medium">
        <color theme="1"/>
      </left>
      <right style="hair">
        <color rgb="FF002060"/>
      </right>
      <top style="medium">
        <color theme="1"/>
      </top>
      <bottom style="hair">
        <color rgb="FF002060"/>
      </bottom>
      <diagonal/>
    </border>
    <border>
      <left style="hair">
        <color rgb="FF002060"/>
      </left>
      <right style="hair">
        <color rgb="FF002060"/>
      </right>
      <top style="medium">
        <color theme="1"/>
      </top>
      <bottom style="hair">
        <color rgb="FF002060"/>
      </bottom>
      <diagonal/>
    </border>
    <border>
      <left style="medium">
        <color theme="1"/>
      </left>
      <right/>
      <top/>
      <bottom style="hair">
        <color rgb="FF002060"/>
      </bottom>
      <diagonal/>
    </border>
    <border>
      <left style="hair">
        <color theme="1"/>
      </left>
      <right style="hair">
        <color theme="1"/>
      </right>
      <top style="hair">
        <color theme="1"/>
      </top>
      <bottom style="medium">
        <color rgb="FF002060"/>
      </bottom>
      <diagonal/>
    </border>
    <border>
      <left/>
      <right style="hair">
        <color rgb="FF002060"/>
      </right>
      <top style="medium">
        <color rgb="FF002060"/>
      </top>
      <bottom/>
      <diagonal/>
    </border>
    <border>
      <left style="hair">
        <color rgb="FF002060"/>
      </left>
      <right style="medium">
        <color theme="1"/>
      </right>
      <top style="medium">
        <color rgb="FF002060"/>
      </top>
      <bottom/>
      <diagonal/>
    </border>
    <border>
      <left/>
      <right/>
      <top style="medium">
        <color theme="1"/>
      </top>
      <bottom/>
      <diagonal/>
    </border>
    <border>
      <left style="medium">
        <color theme="1"/>
      </left>
      <right style="hair">
        <color theme="1"/>
      </right>
      <top style="medium">
        <color theme="1"/>
      </top>
      <bottom/>
      <diagonal/>
    </border>
    <border>
      <left style="hair">
        <color theme="1"/>
      </left>
      <right style="medium">
        <color theme="1"/>
      </right>
      <top style="medium">
        <color theme="1"/>
      </top>
      <bottom/>
      <diagonal/>
    </border>
    <border>
      <left style="medium">
        <color auto="1"/>
      </left>
      <right style="medium">
        <color auto="1"/>
      </right>
      <top/>
      <bottom style="hair">
        <color auto="1"/>
      </bottom>
      <diagonal/>
    </border>
    <border>
      <left style="medium">
        <color theme="1"/>
      </left>
      <right style="hair">
        <color rgb="FF002060"/>
      </right>
      <top/>
      <bottom style="medium">
        <color rgb="FF002060"/>
      </bottom>
      <diagonal/>
    </border>
    <border>
      <left style="medium">
        <color theme="1"/>
      </left>
      <right style="hair">
        <color rgb="FF002060"/>
      </right>
      <top style="hair">
        <color rgb="FF002060"/>
      </top>
      <bottom/>
      <diagonal/>
    </border>
    <border>
      <left style="hair">
        <color rgb="FF002060"/>
      </left>
      <right style="medium">
        <color theme="1"/>
      </right>
      <top style="hair">
        <color rgb="FF002060"/>
      </top>
      <bottom/>
      <diagonal/>
    </border>
    <border>
      <left style="hair">
        <color theme="1"/>
      </left>
      <right/>
      <top style="hair">
        <color theme="1"/>
      </top>
      <bottom style="medium">
        <color theme="1"/>
      </bottom>
      <diagonal/>
    </border>
    <border diagonalDown="1">
      <left style="medium">
        <color theme="1"/>
      </left>
      <right style="hair">
        <color theme="1"/>
      </right>
      <top style="medium">
        <color theme="1"/>
      </top>
      <bottom style="hair">
        <color theme="1"/>
      </bottom>
      <diagonal style="hair">
        <color theme="1"/>
      </diagonal>
    </border>
    <border diagonalDown="1">
      <left style="medium">
        <color theme="1"/>
      </left>
      <right/>
      <top style="hair">
        <color theme="1"/>
      </top>
      <bottom style="hair">
        <color theme="1"/>
      </bottom>
      <diagonal style="hair">
        <color theme="1"/>
      </diagonal>
    </border>
    <border diagonalDown="1">
      <left style="medium">
        <color theme="1"/>
      </left>
      <right style="hair">
        <color theme="1"/>
      </right>
      <top style="hair">
        <color theme="1"/>
      </top>
      <bottom style="hair">
        <color theme="1"/>
      </bottom>
      <diagonal style="hair">
        <color theme="1"/>
      </diagonal>
    </border>
    <border diagonalDown="1">
      <left style="medium">
        <color theme="1"/>
      </left>
      <right style="hair">
        <color indexed="64"/>
      </right>
      <top style="medium">
        <color theme="1"/>
      </top>
      <bottom style="hair">
        <color theme="1"/>
      </bottom>
      <diagonal style="hair">
        <color theme="1"/>
      </diagonal>
    </border>
    <border diagonalDown="1">
      <left style="medium">
        <color theme="1"/>
      </left>
      <right/>
      <top style="hair">
        <color theme="1"/>
      </top>
      <bottom style="hair">
        <color indexed="64"/>
      </bottom>
      <diagonal style="hair">
        <color theme="1"/>
      </diagonal>
    </border>
    <border>
      <left/>
      <right style="hair">
        <color rgb="FF002060"/>
      </right>
      <top style="medium">
        <color theme="1"/>
      </top>
      <bottom/>
      <diagonal/>
    </border>
    <border>
      <left style="medium">
        <color theme="1"/>
      </left>
      <right style="hair">
        <color rgb="FF002060"/>
      </right>
      <top/>
      <bottom style="medium">
        <color theme="1"/>
      </bottom>
      <diagonal/>
    </border>
    <border>
      <left style="hair">
        <color rgb="FF002060"/>
      </left>
      <right style="hair">
        <color rgb="FF002060"/>
      </right>
      <top/>
      <bottom style="medium">
        <color theme="1"/>
      </bottom>
      <diagonal/>
    </border>
    <border>
      <left style="hair">
        <color rgb="FF002060"/>
      </left>
      <right style="medium">
        <color theme="1"/>
      </right>
      <top/>
      <bottom style="medium">
        <color theme="1"/>
      </bottom>
      <diagonal/>
    </border>
    <border>
      <left style="medium">
        <color theme="1"/>
      </left>
      <right style="hair">
        <color theme="1"/>
      </right>
      <top style="hair">
        <color rgb="FF002060"/>
      </top>
      <bottom style="hair">
        <color theme="1"/>
      </bottom>
      <diagonal/>
    </border>
    <border>
      <left style="hair">
        <color theme="1"/>
      </left>
      <right style="medium">
        <color theme="1"/>
      </right>
      <top style="hair">
        <color rgb="FF002060"/>
      </top>
      <bottom style="hair">
        <color theme="1"/>
      </bottom>
      <diagonal/>
    </border>
    <border>
      <left style="hair">
        <color theme="1"/>
      </left>
      <right style="hair">
        <color theme="1"/>
      </right>
      <top/>
      <bottom/>
      <diagonal/>
    </border>
    <border>
      <left style="hair">
        <color indexed="64"/>
      </left>
      <right style="hair">
        <color indexed="64"/>
      </right>
      <top style="hair">
        <color indexed="64"/>
      </top>
      <bottom/>
      <diagonal/>
    </border>
    <border>
      <left style="hair">
        <color theme="1"/>
      </left>
      <right/>
      <top/>
      <bottom style="hair">
        <color theme="1"/>
      </bottom>
      <diagonal/>
    </border>
    <border>
      <left/>
      <right style="medium">
        <color theme="1"/>
      </right>
      <top/>
      <bottom style="medium">
        <color rgb="FF002060"/>
      </bottom>
      <diagonal/>
    </border>
    <border>
      <left style="hair">
        <color theme="1"/>
      </left>
      <right style="hair">
        <color theme="1"/>
      </right>
      <top/>
      <bottom style="medium">
        <color theme="1"/>
      </bottom>
      <diagonal/>
    </border>
    <border>
      <left style="medium">
        <color theme="1"/>
      </left>
      <right style="medium">
        <color theme="1"/>
      </right>
      <top style="medium">
        <color rgb="FF002060"/>
      </top>
      <bottom style="hair">
        <color theme="1"/>
      </bottom>
      <diagonal/>
    </border>
    <border diagonalDown="1">
      <left style="medium">
        <color theme="1"/>
      </left>
      <right style="hair">
        <color theme="1"/>
      </right>
      <top style="medium">
        <color rgb="FF002060"/>
      </top>
      <bottom style="hair">
        <color theme="1"/>
      </bottom>
      <diagonal style="hair">
        <color theme="1"/>
      </diagonal>
    </border>
    <border>
      <left style="medium">
        <color theme="1"/>
      </left>
      <right style="hair">
        <color rgb="FF002060"/>
      </right>
      <top style="medium">
        <color rgb="FF002060"/>
      </top>
      <bottom/>
      <diagonal/>
    </border>
    <border>
      <left style="hair">
        <color theme="1"/>
      </left>
      <right style="hair">
        <color theme="1"/>
      </right>
      <top style="medium">
        <color rgb="FF002060"/>
      </top>
      <bottom/>
      <diagonal/>
    </border>
    <border>
      <left style="hair">
        <color rgb="FF002060"/>
      </left>
      <right/>
      <top style="medium">
        <color theme="1"/>
      </top>
      <bottom style="hair">
        <color rgb="FF002060"/>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right style="hair">
        <color theme="1"/>
      </right>
      <top style="medium">
        <color theme="1"/>
      </top>
      <bottom style="medium">
        <color theme="1"/>
      </bottom>
      <diagonal/>
    </border>
    <border>
      <left style="hair">
        <color rgb="FF002060"/>
      </left>
      <right style="hair">
        <color rgb="FF002060"/>
      </right>
      <top/>
      <bottom style="thin">
        <color indexed="18"/>
      </bottom>
      <diagonal/>
    </border>
    <border>
      <left style="medium">
        <color theme="1"/>
      </left>
      <right style="hair">
        <color rgb="FF002060"/>
      </right>
      <top/>
      <bottom style="thin">
        <color indexed="18"/>
      </bottom>
      <diagonal/>
    </border>
    <border>
      <left style="hair">
        <color rgb="FF002060"/>
      </left>
      <right style="medium">
        <color theme="1"/>
      </right>
      <top/>
      <bottom style="thin">
        <color indexed="18"/>
      </bottom>
      <diagonal/>
    </border>
    <border>
      <left style="medium">
        <color theme="1"/>
      </left>
      <right style="hair">
        <color rgb="FF002060"/>
      </right>
      <top style="thin">
        <color indexed="18"/>
      </top>
      <bottom style="hair">
        <color rgb="FF002060"/>
      </bottom>
      <diagonal/>
    </border>
    <border>
      <left style="hair">
        <color rgb="FF002060"/>
      </left>
      <right style="medium">
        <color theme="1"/>
      </right>
      <top style="thin">
        <color indexed="18"/>
      </top>
      <bottom style="hair">
        <color rgb="FF002060"/>
      </bottom>
      <diagonal/>
    </border>
    <border>
      <left/>
      <right style="medium">
        <color theme="1"/>
      </right>
      <top/>
      <bottom style="hair">
        <color rgb="FF002060"/>
      </bottom>
      <diagonal/>
    </border>
    <border diagonalDown="1">
      <left style="medium">
        <color theme="1"/>
      </left>
      <right style="hair">
        <color indexed="64"/>
      </right>
      <top style="medium">
        <color indexed="64"/>
      </top>
      <bottom style="hair">
        <color indexed="64"/>
      </bottom>
      <diagonal style="hair">
        <color theme="1"/>
      </diagonal>
    </border>
    <border>
      <left style="hair">
        <color rgb="FF002060"/>
      </left>
      <right/>
      <top/>
      <bottom style="medium">
        <color theme="1"/>
      </bottom>
      <diagonal/>
    </border>
    <border diagonalDown="1">
      <left style="medium">
        <color theme="1"/>
      </left>
      <right/>
      <top style="hair">
        <color indexed="64"/>
      </top>
      <bottom style="hair">
        <color indexed="64"/>
      </bottom>
      <diagonal style="hair">
        <color theme="1"/>
      </diagonal>
    </border>
    <border>
      <left style="hair">
        <color indexed="64"/>
      </left>
      <right style="hair">
        <color indexed="64"/>
      </right>
      <top/>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top/>
      <bottom/>
      <diagonal/>
    </border>
    <border>
      <left style="hair">
        <color theme="1"/>
      </left>
      <right/>
      <top style="medium">
        <color theme="1"/>
      </top>
      <bottom style="medium">
        <color theme="1"/>
      </bottom>
      <diagonal/>
    </border>
    <border>
      <left style="thick">
        <color rgb="FFC00000"/>
      </left>
      <right style="hair">
        <color theme="1"/>
      </right>
      <top style="thick">
        <color rgb="FFC00000"/>
      </top>
      <bottom style="thick">
        <color rgb="FFC00000"/>
      </bottom>
      <diagonal/>
    </border>
    <border>
      <left style="hair">
        <color theme="1"/>
      </left>
      <right style="thick">
        <color rgb="FFC00000"/>
      </right>
      <top style="thick">
        <color rgb="FFC00000"/>
      </top>
      <bottom style="thick">
        <color rgb="FFC00000"/>
      </bottom>
      <diagonal/>
    </border>
    <border>
      <left/>
      <right/>
      <top/>
      <bottom style="medium">
        <color theme="1"/>
      </bottom>
      <diagonal/>
    </border>
    <border>
      <left style="medium">
        <color rgb="FF002060"/>
      </left>
      <right/>
      <top/>
      <bottom style="thick">
        <color rgb="FFC00000"/>
      </bottom>
      <diagonal/>
    </border>
    <border>
      <left/>
      <right/>
      <top/>
      <bottom style="thick">
        <color rgb="FFC00000"/>
      </bottom>
      <diagonal/>
    </border>
    <border>
      <left style="medium">
        <color theme="1"/>
      </left>
      <right/>
      <top/>
      <bottom style="thick">
        <color rgb="FFC00000"/>
      </bottom>
      <diagonal/>
    </border>
    <border>
      <left/>
      <right style="medium">
        <color theme="1"/>
      </right>
      <top/>
      <bottom style="hair">
        <color theme="1"/>
      </bottom>
      <diagonal/>
    </border>
    <border>
      <left/>
      <right/>
      <top/>
      <bottom style="hair">
        <color theme="1"/>
      </bottom>
      <diagonal/>
    </border>
    <border>
      <left/>
      <right style="medium">
        <color auto="1"/>
      </right>
      <top/>
      <bottom style="hair">
        <color auto="1"/>
      </bottom>
      <diagonal/>
    </border>
    <border>
      <left/>
      <right/>
      <top/>
      <bottom style="hair">
        <color auto="1"/>
      </bottom>
      <diagonal/>
    </border>
    <border>
      <left style="medium">
        <color rgb="FFC00000"/>
      </left>
      <right style="hair">
        <color rgb="FFC00000"/>
      </right>
      <top style="medium">
        <color rgb="FFC00000"/>
      </top>
      <bottom style="hair">
        <color rgb="FFC00000"/>
      </bottom>
      <diagonal/>
    </border>
    <border>
      <left style="hair">
        <color rgb="FFC00000"/>
      </left>
      <right style="medium">
        <color rgb="FFC00000"/>
      </right>
      <top style="medium">
        <color rgb="FFC00000"/>
      </top>
      <bottom style="hair">
        <color rgb="FFC00000"/>
      </bottom>
      <diagonal/>
    </border>
    <border>
      <left style="medium">
        <color rgb="FFC00000"/>
      </left>
      <right style="hair">
        <color rgb="FFC00000"/>
      </right>
      <top style="hair">
        <color rgb="FFC00000"/>
      </top>
      <bottom style="hair">
        <color rgb="FFC00000"/>
      </bottom>
      <diagonal/>
    </border>
    <border>
      <left style="hair">
        <color rgb="FFC00000"/>
      </left>
      <right style="medium">
        <color rgb="FFC00000"/>
      </right>
      <top style="hair">
        <color rgb="FFC00000"/>
      </top>
      <bottom style="hair">
        <color rgb="FFC00000"/>
      </bottom>
      <diagonal/>
    </border>
    <border>
      <left/>
      <right/>
      <top style="medium">
        <color rgb="FFC00000"/>
      </top>
      <bottom/>
      <diagonal/>
    </border>
    <border>
      <left style="medium">
        <color rgb="FFC00000"/>
      </left>
      <right style="hair">
        <color rgb="FFC00000"/>
      </right>
      <top style="hair">
        <color rgb="FFC00000"/>
      </top>
      <bottom/>
      <diagonal/>
    </border>
    <border>
      <left style="hair">
        <color rgb="FFC00000"/>
      </left>
      <right style="medium">
        <color rgb="FFC00000"/>
      </right>
      <top style="hair">
        <color rgb="FFC00000"/>
      </top>
      <bottom/>
      <diagonal/>
    </border>
  </borders>
  <cellStyleXfs count="2">
    <xf numFmtId="0" fontId="0" fillId="0" borderId="0"/>
    <xf numFmtId="9" fontId="30" fillId="0" borderId="0" applyFont="0" applyFill="0" applyBorder="0" applyAlignment="0" applyProtection="0"/>
  </cellStyleXfs>
  <cellXfs count="1030">
    <xf numFmtId="0" fontId="0" fillId="0" borderId="0" xfId="0"/>
    <xf numFmtId="0" fontId="2" fillId="0" borderId="0" xfId="0" applyFont="1" applyAlignment="1" applyProtection="1">
      <alignment vertical="center"/>
      <protection hidden="1"/>
    </xf>
    <xf numFmtId="0" fontId="2" fillId="0" borderId="0" xfId="0" applyFont="1" applyAlignment="1" applyProtection="1">
      <alignment vertical="center" wrapText="1"/>
      <protection hidden="1"/>
    </xf>
    <xf numFmtId="0" fontId="1" fillId="0" borderId="0" xfId="0" applyFont="1" applyAlignment="1" applyProtection="1">
      <alignment vertical="center"/>
      <protection hidden="1"/>
    </xf>
    <xf numFmtId="0" fontId="1" fillId="0" borderId="0" xfId="0" applyFont="1" applyAlignment="1" applyProtection="1">
      <alignment horizontal="center" vertical="center" wrapText="1"/>
      <protection hidden="1"/>
    </xf>
    <xf numFmtId="0" fontId="2" fillId="0" borderId="4" xfId="0" applyFont="1" applyBorder="1" applyAlignment="1" applyProtection="1">
      <alignment horizontal="right" vertical="center"/>
      <protection hidden="1"/>
    </xf>
    <xf numFmtId="0" fontId="2" fillId="0" borderId="6" xfId="0" applyFont="1" applyBorder="1" applyAlignment="1" applyProtection="1">
      <alignment horizontal="right" vertical="center"/>
      <protection hidden="1"/>
    </xf>
    <xf numFmtId="0" fontId="8" fillId="0" borderId="0" xfId="0" applyFont="1" applyAlignment="1" applyProtection="1">
      <alignment vertical="center"/>
      <protection hidden="1"/>
    </xf>
    <xf numFmtId="22" fontId="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6" fillId="0" borderId="0" xfId="0" applyFont="1" applyAlignment="1" applyProtection="1">
      <alignment vertical="center"/>
      <protection hidden="1"/>
    </xf>
    <xf numFmtId="0" fontId="6" fillId="0" borderId="0" xfId="0" applyFont="1" applyAlignment="1" applyProtection="1">
      <alignment vertical="center" wrapText="1"/>
      <protection hidden="1"/>
    </xf>
    <xf numFmtId="0" fontId="11"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16" fillId="0" borderId="0" xfId="0" applyFont="1" applyAlignment="1" applyProtection="1">
      <alignment vertical="center"/>
      <protection hidden="1"/>
    </xf>
    <xf numFmtId="165" fontId="1" fillId="0" borderId="0" xfId="0" applyNumberFormat="1" applyFont="1" applyAlignment="1" applyProtection="1">
      <alignment vertical="center"/>
      <protection hidden="1"/>
    </xf>
    <xf numFmtId="0" fontId="20" fillId="0" borderId="0" xfId="0" applyFont="1" applyAlignment="1" applyProtection="1">
      <alignment horizontal="center" vertical="center"/>
      <protection hidden="1"/>
    </xf>
    <xf numFmtId="0" fontId="20"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19" fillId="0" borderId="0" xfId="0" applyFont="1" applyAlignment="1" applyProtection="1">
      <alignment horizontal="center"/>
      <protection hidden="1"/>
    </xf>
    <xf numFmtId="0" fontId="20" fillId="7" borderId="0" xfId="0" applyFont="1" applyFill="1" applyAlignment="1" applyProtection="1">
      <alignment horizontal="center" vertical="center"/>
      <protection hidden="1"/>
    </xf>
    <xf numFmtId="0" fontId="20" fillId="7" borderId="36" xfId="0" applyFont="1" applyFill="1" applyBorder="1" applyAlignment="1" applyProtection="1">
      <alignment horizontal="justify" vertical="top" wrapText="1"/>
      <protection hidden="1"/>
    </xf>
    <xf numFmtId="0" fontId="2" fillId="0" borderId="0" xfId="0" applyFont="1" applyAlignment="1" applyProtection="1">
      <alignment horizontal="right" vertical="center"/>
      <protection hidden="1"/>
    </xf>
    <xf numFmtId="0" fontId="2" fillId="0" borderId="0" xfId="0" applyFont="1" applyAlignment="1" applyProtection="1">
      <alignment horizontal="center" vertical="center"/>
      <protection hidden="1"/>
    </xf>
    <xf numFmtId="0" fontId="5" fillId="2" borderId="0" xfId="0" applyFont="1" applyFill="1" applyAlignment="1" applyProtection="1">
      <alignment horizontal="center" vertical="center"/>
      <protection hidden="1"/>
    </xf>
    <xf numFmtId="2" fontId="6" fillId="2" borderId="0" xfId="0" applyNumberFormat="1" applyFont="1" applyFill="1" applyAlignment="1" applyProtection="1">
      <alignment horizontal="right" vertical="center" indent="1"/>
      <protection hidden="1"/>
    </xf>
    <xf numFmtId="2" fontId="6" fillId="2" borderId="0" xfId="0" applyNumberFormat="1" applyFont="1" applyFill="1" applyAlignment="1" applyProtection="1">
      <alignment horizontal="center" vertical="center"/>
      <protection hidden="1"/>
    </xf>
    <xf numFmtId="0" fontId="6" fillId="2" borderId="0" xfId="0" applyFont="1" applyFill="1" applyAlignment="1" applyProtection="1">
      <alignment horizontal="right" vertical="center" indent="1"/>
      <protection hidden="1"/>
    </xf>
    <xf numFmtId="171" fontId="6" fillId="0" borderId="0" xfId="0" applyNumberFormat="1" applyFont="1" applyAlignment="1" applyProtection="1">
      <alignment horizontal="center" vertical="center"/>
      <protection hidden="1"/>
    </xf>
    <xf numFmtId="2" fontId="2" fillId="2" borderId="0" xfId="0" applyNumberFormat="1" applyFont="1" applyFill="1" applyAlignment="1" applyProtection="1">
      <alignment horizontal="center" vertical="center"/>
      <protection hidden="1"/>
    </xf>
    <xf numFmtId="0" fontId="2" fillId="2" borderId="0" xfId="0" applyFont="1" applyFill="1" applyAlignment="1" applyProtection="1">
      <alignment horizontal="right" vertical="center" indent="1"/>
      <protection hidden="1"/>
    </xf>
    <xf numFmtId="0" fontId="2" fillId="7" borderId="0" xfId="0" applyFont="1" applyFill="1" applyAlignment="1" applyProtection="1">
      <alignment horizontal="center" vertical="center"/>
      <protection hidden="1"/>
    </xf>
    <xf numFmtId="0" fontId="27" fillId="0" borderId="0" xfId="0" applyFont="1" applyAlignment="1" applyProtection="1">
      <alignment vertical="center"/>
      <protection hidden="1"/>
    </xf>
    <xf numFmtId="0" fontId="14"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14" fillId="0" borderId="0" xfId="0" applyFont="1" applyAlignment="1" applyProtection="1">
      <alignment vertical="center" wrapText="1"/>
      <protection hidden="1"/>
    </xf>
    <xf numFmtId="2" fontId="2" fillId="0" borderId="0" xfId="0" applyNumberFormat="1"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15" fillId="4" borderId="23" xfId="0" applyFont="1" applyFill="1" applyBorder="1" applyAlignment="1" applyProtection="1">
      <alignment horizontal="center" vertical="center"/>
      <protection hidden="1"/>
    </xf>
    <xf numFmtId="0" fontId="4" fillId="0" borderId="23" xfId="0" applyFont="1" applyBorder="1" applyAlignment="1" applyProtection="1">
      <alignment horizontal="center" vertical="center"/>
      <protection hidden="1"/>
    </xf>
    <xf numFmtId="4" fontId="5" fillId="2" borderId="0" xfId="0" applyNumberFormat="1" applyFont="1" applyFill="1" applyAlignment="1" applyProtection="1">
      <alignment horizontal="center" vertical="center"/>
      <protection hidden="1"/>
    </xf>
    <xf numFmtId="0" fontId="1" fillId="2" borderId="24" xfId="0" applyFont="1" applyFill="1" applyBorder="1" applyAlignment="1" applyProtection="1">
      <alignment vertical="center"/>
      <protection hidden="1"/>
    </xf>
    <xf numFmtId="0" fontId="2" fillId="0" borderId="23" xfId="0" applyFont="1" applyBorder="1" applyAlignment="1" applyProtection="1">
      <alignment horizontal="center" vertical="center"/>
      <protection hidden="1"/>
    </xf>
    <xf numFmtId="0" fontId="0" fillId="2" borderId="0" xfId="0" applyFill="1"/>
    <xf numFmtId="0" fontId="32" fillId="0" borderId="0" xfId="0" applyFont="1" applyAlignment="1" applyProtection="1">
      <alignment horizontal="right" vertical="center"/>
      <protection hidden="1"/>
    </xf>
    <xf numFmtId="0" fontId="6" fillId="0" borderId="0" xfId="0" applyFont="1" applyAlignment="1" applyProtection="1">
      <alignment horizontal="right" vertical="center"/>
      <protection hidden="1"/>
    </xf>
    <xf numFmtId="164" fontId="6" fillId="0" borderId="0" xfId="0" applyNumberFormat="1" applyFont="1" applyAlignment="1" applyProtection="1">
      <alignment horizontal="center" vertical="center"/>
      <protection hidden="1"/>
    </xf>
    <xf numFmtId="1" fontId="6" fillId="0" borderId="0" xfId="0" applyNumberFormat="1" applyFont="1" applyAlignment="1" applyProtection="1">
      <alignment vertical="center"/>
      <protection hidden="1"/>
    </xf>
    <xf numFmtId="0" fontId="6" fillId="2" borderId="0" xfId="0" applyFont="1" applyFill="1" applyAlignment="1" applyProtection="1">
      <alignment vertical="center"/>
      <protection hidden="1"/>
    </xf>
    <xf numFmtId="0" fontId="6" fillId="2" borderId="0" xfId="0" applyFont="1" applyFill="1" applyAlignment="1" applyProtection="1">
      <alignment horizontal="right" vertical="center" wrapText="1" indent="1"/>
      <protection hidden="1"/>
    </xf>
    <xf numFmtId="0" fontId="6" fillId="2" borderId="0" xfId="0" applyFont="1" applyFill="1" applyAlignment="1" applyProtection="1">
      <alignment vertical="center" wrapText="1"/>
      <protection hidden="1"/>
    </xf>
    <xf numFmtId="164" fontId="6" fillId="2" borderId="0" xfId="0" applyNumberFormat="1" applyFont="1" applyFill="1" applyAlignment="1" applyProtection="1">
      <alignment horizontal="center" vertical="center"/>
      <protection hidden="1"/>
    </xf>
    <xf numFmtId="177" fontId="6" fillId="2" borderId="0" xfId="0" applyNumberFormat="1" applyFont="1" applyFill="1" applyAlignment="1" applyProtection="1">
      <alignment horizontal="center" vertical="center"/>
      <protection hidden="1"/>
    </xf>
    <xf numFmtId="0" fontId="32" fillId="0" borderId="0" xfId="0" applyFont="1" applyAlignment="1" applyProtection="1">
      <alignment horizontal="center" vertical="center"/>
      <protection hidden="1"/>
    </xf>
    <xf numFmtId="9" fontId="6" fillId="0" borderId="0" xfId="1" applyFont="1" applyAlignment="1" applyProtection="1">
      <alignment horizontal="center" vertical="center"/>
      <protection hidden="1"/>
    </xf>
    <xf numFmtId="2" fontId="6" fillId="2" borderId="0" xfId="0" applyNumberFormat="1" applyFont="1" applyFill="1" applyAlignment="1" applyProtection="1">
      <alignment vertical="center"/>
      <protection hidden="1"/>
    </xf>
    <xf numFmtId="0" fontId="27" fillId="2" borderId="0" xfId="0" applyFont="1" applyFill="1" applyAlignment="1" applyProtection="1">
      <alignment horizontal="center" vertical="center"/>
      <protection hidden="1"/>
    </xf>
    <xf numFmtId="0" fontId="27"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vertical="center" wrapText="1"/>
      <protection hidden="1"/>
    </xf>
    <xf numFmtId="0" fontId="35" fillId="2" borderId="0" xfId="0" applyFont="1" applyFill="1" applyAlignment="1" applyProtection="1">
      <alignment horizontal="center" vertical="center"/>
      <protection hidden="1"/>
    </xf>
    <xf numFmtId="2" fontId="14" fillId="2" borderId="0" xfId="0" applyNumberFormat="1" applyFont="1" applyFill="1" applyAlignment="1" applyProtection="1">
      <alignment horizontal="center"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center" vertical="center"/>
      <protection hidden="1"/>
    </xf>
    <xf numFmtId="0" fontId="36" fillId="2" borderId="0" xfId="0" applyFont="1" applyFill="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2" borderId="0" xfId="0" applyFont="1" applyFill="1" applyAlignment="1" applyProtection="1">
      <alignment vertical="center"/>
      <protection hidden="1"/>
    </xf>
    <xf numFmtId="0" fontId="37" fillId="0" borderId="0" xfId="0" applyFont="1" applyAlignment="1" applyProtection="1">
      <alignment vertical="center"/>
      <protection hidden="1"/>
    </xf>
    <xf numFmtId="0" fontId="7"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2" fontId="7" fillId="0" borderId="0" xfId="0" applyNumberFormat="1" applyFont="1" applyAlignment="1" applyProtection="1">
      <alignment horizontal="center" vertical="center"/>
      <protection hidden="1"/>
    </xf>
    <xf numFmtId="0" fontId="7" fillId="0" borderId="0" xfId="0" applyFont="1" applyAlignment="1" applyProtection="1">
      <alignment horizontal="right" vertical="center"/>
      <protection hidden="1"/>
    </xf>
    <xf numFmtId="1" fontId="7" fillId="0" borderId="0" xfId="0" applyNumberFormat="1" applyFont="1" applyAlignment="1" applyProtection="1">
      <alignment horizontal="center" vertical="center"/>
      <protection hidden="1"/>
    </xf>
    <xf numFmtId="164" fontId="7" fillId="2" borderId="0" xfId="0" applyNumberFormat="1" applyFont="1" applyFill="1" applyAlignment="1" applyProtection="1">
      <alignment horizontal="center" vertical="center"/>
      <protection hidden="1"/>
    </xf>
    <xf numFmtId="0" fontId="36" fillId="2" borderId="0" xfId="0"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7" fillId="2" borderId="3" xfId="0"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center" vertical="center"/>
      <protection hidden="1"/>
    </xf>
    <xf numFmtId="0" fontId="7" fillId="2" borderId="0" xfId="0" applyFont="1" applyFill="1" applyAlignment="1" applyProtection="1">
      <alignment vertical="center" wrapText="1"/>
      <protection hidden="1"/>
    </xf>
    <xf numFmtId="2" fontId="7" fillId="2" borderId="0" xfId="0" applyNumberFormat="1" applyFont="1" applyFill="1" applyAlignment="1" applyProtection="1">
      <alignment horizontal="center" vertical="center"/>
      <protection hidden="1"/>
    </xf>
    <xf numFmtId="0" fontId="36" fillId="0" borderId="0" xfId="0" applyFont="1" applyAlignment="1" applyProtection="1">
      <alignment horizontal="right" vertical="center"/>
      <protection hidden="1"/>
    </xf>
    <xf numFmtId="0" fontId="7" fillId="0" borderId="0" xfId="0" applyFont="1" applyAlignment="1" applyProtection="1">
      <alignment horizontal="right" vertical="center" wrapText="1"/>
      <protection hidden="1"/>
    </xf>
    <xf numFmtId="0" fontId="2" fillId="0" borderId="24" xfId="0" applyFont="1" applyBorder="1" applyAlignment="1" applyProtection="1">
      <alignment vertical="center"/>
      <protection hidden="1"/>
    </xf>
    <xf numFmtId="0" fontId="0" fillId="2" borderId="0" xfId="0" applyFill="1" applyAlignment="1">
      <alignment vertical="center"/>
    </xf>
    <xf numFmtId="0" fontId="38" fillId="2" borderId="0" xfId="0" applyFont="1" applyFill="1" applyAlignment="1">
      <alignment vertical="center"/>
    </xf>
    <xf numFmtId="0" fontId="38" fillId="2" borderId="0" xfId="0" applyFont="1" applyFill="1" applyAlignment="1">
      <alignment horizontal="center" vertical="center"/>
    </xf>
    <xf numFmtId="164" fontId="0" fillId="2" borderId="0" xfId="0" applyNumberFormat="1" applyFill="1" applyAlignment="1">
      <alignment vertical="center"/>
    </xf>
    <xf numFmtId="0" fontId="0" fillId="2" borderId="0" xfId="0" applyFill="1" applyAlignment="1">
      <alignment horizontal="center" vertical="center"/>
    </xf>
    <xf numFmtId="2" fontId="0" fillId="2" borderId="0" xfId="0" applyNumberFormat="1" applyFill="1" applyAlignment="1">
      <alignment horizontal="center" vertical="center"/>
    </xf>
    <xf numFmtId="9" fontId="0" fillId="2" borderId="0" xfId="1" applyFont="1" applyFill="1" applyAlignment="1">
      <alignment vertical="center"/>
    </xf>
    <xf numFmtId="10" fontId="0" fillId="2" borderId="0" xfId="1" applyNumberFormat="1" applyFont="1" applyFill="1" applyAlignment="1">
      <alignment vertical="center"/>
    </xf>
    <xf numFmtId="171" fontId="39" fillId="2" borderId="22" xfId="0" applyNumberFormat="1" applyFont="1" applyFill="1" applyBorder="1" applyAlignment="1" applyProtection="1">
      <alignment horizontal="center" vertical="center"/>
      <protection hidden="1"/>
    </xf>
    <xf numFmtId="171" fontId="39" fillId="2" borderId="20" xfId="0" applyNumberFormat="1" applyFont="1" applyFill="1" applyBorder="1" applyAlignment="1" applyProtection="1">
      <alignment horizontal="center" vertical="center"/>
      <protection hidden="1"/>
    </xf>
    <xf numFmtId="171" fontId="39" fillId="2" borderId="32" xfId="0" applyNumberFormat="1" applyFont="1" applyFill="1" applyBorder="1" applyAlignment="1" applyProtection="1">
      <alignment horizontal="center" vertical="center"/>
      <protection hidden="1"/>
    </xf>
    <xf numFmtId="171" fontId="39" fillId="2" borderId="21" xfId="0" applyNumberFormat="1" applyFont="1" applyFill="1" applyBorder="1" applyAlignment="1" applyProtection="1">
      <alignment horizontal="center" vertical="center"/>
      <protection hidden="1"/>
    </xf>
    <xf numFmtId="165" fontId="39" fillId="0" borderId="2" xfId="0" applyNumberFormat="1" applyFont="1" applyBorder="1" applyAlignment="1" applyProtection="1">
      <alignment horizontal="center" vertical="center"/>
      <protection hidden="1"/>
    </xf>
    <xf numFmtId="4" fontId="39" fillId="0" borderId="55" xfId="0" applyNumberFormat="1" applyFont="1" applyBorder="1" applyAlignment="1" applyProtection="1">
      <alignment horizontal="center" vertical="center"/>
      <protection hidden="1"/>
    </xf>
    <xf numFmtId="165" fontId="39" fillId="0" borderId="1" xfId="0" applyNumberFormat="1" applyFont="1" applyBorder="1" applyAlignment="1" applyProtection="1">
      <alignment horizontal="center" vertical="center"/>
      <protection hidden="1"/>
    </xf>
    <xf numFmtId="0" fontId="15" fillId="0" borderId="18" xfId="0" applyFont="1" applyBorder="1" applyAlignment="1" applyProtection="1">
      <alignment horizontal="center" vertical="center" wrapText="1"/>
      <protection hidden="1"/>
    </xf>
    <xf numFmtId="0" fontId="15" fillId="0" borderId="4" xfId="0" applyFont="1" applyBorder="1" applyAlignment="1" applyProtection="1">
      <alignment horizontal="right" vertical="center" indent="1"/>
      <protection hidden="1"/>
    </xf>
    <xf numFmtId="0" fontId="39" fillId="0" borderId="20" xfId="0" applyFont="1" applyBorder="1" applyAlignment="1" applyProtection="1">
      <alignment vertical="center"/>
      <protection hidden="1"/>
    </xf>
    <xf numFmtId="171" fontId="39" fillId="0" borderId="20" xfId="0" applyNumberFormat="1" applyFont="1" applyBorder="1" applyAlignment="1" applyProtection="1">
      <alignment horizontal="center" vertical="center"/>
      <protection hidden="1"/>
    </xf>
    <xf numFmtId="165" fontId="39" fillId="0" borderId="20" xfId="0" applyNumberFormat="1" applyFont="1" applyBorder="1" applyAlignment="1" applyProtection="1">
      <alignment horizontal="center" vertical="center"/>
      <protection hidden="1"/>
    </xf>
    <xf numFmtId="0" fontId="15" fillId="0" borderId="60" xfId="0" applyFont="1" applyBorder="1" applyAlignment="1" applyProtection="1">
      <alignment horizontal="center" vertical="center" wrapText="1"/>
      <protection hidden="1"/>
    </xf>
    <xf numFmtId="0" fontId="15" fillId="0" borderId="61" xfId="0" applyFont="1" applyBorder="1" applyAlignment="1" applyProtection="1">
      <alignment horizontal="center" vertical="center" wrapText="1"/>
      <protection hidden="1"/>
    </xf>
    <xf numFmtId="4" fontId="39" fillId="0" borderId="63" xfId="0" applyNumberFormat="1" applyFont="1" applyBorder="1" applyAlignment="1" applyProtection="1">
      <alignment horizontal="center" vertical="center"/>
      <protection hidden="1"/>
    </xf>
    <xf numFmtId="3" fontId="15" fillId="2" borderId="64" xfId="0" applyNumberFormat="1" applyFont="1" applyFill="1" applyBorder="1" applyAlignment="1" applyProtection="1">
      <alignment horizontal="center" vertical="center"/>
      <protection hidden="1"/>
    </xf>
    <xf numFmtId="0" fontId="39" fillId="0" borderId="68" xfId="0" applyFont="1" applyBorder="1" applyAlignment="1" applyProtection="1">
      <alignment horizontal="right" vertical="center" indent="1"/>
      <protection hidden="1"/>
    </xf>
    <xf numFmtId="4" fontId="39" fillId="0" borderId="69" xfId="0" applyNumberFormat="1" applyFont="1" applyBorder="1" applyAlignment="1" applyProtection="1">
      <alignment horizontal="center" vertical="center"/>
      <protection hidden="1"/>
    </xf>
    <xf numFmtId="165" fontId="39" fillId="0" borderId="70" xfId="0" applyNumberFormat="1" applyFont="1" applyBorder="1" applyAlignment="1" applyProtection="1">
      <alignment horizontal="center" vertical="center"/>
      <protection hidden="1"/>
    </xf>
    <xf numFmtId="4" fontId="39" fillId="0" borderId="71" xfId="0" applyNumberFormat="1" applyFont="1" applyBorder="1" applyAlignment="1" applyProtection="1">
      <alignment horizontal="center" vertical="center"/>
      <protection hidden="1"/>
    </xf>
    <xf numFmtId="0" fontId="39" fillId="0" borderId="62" xfId="0" applyFont="1" applyBorder="1" applyAlignment="1" applyProtection="1">
      <alignment horizontal="right" vertical="center" indent="1"/>
      <protection hidden="1"/>
    </xf>
    <xf numFmtId="0" fontId="39" fillId="0" borderId="65" xfId="0" applyFont="1" applyBorder="1" applyAlignment="1" applyProtection="1">
      <alignment horizontal="right" vertical="center" indent="1"/>
      <protection hidden="1"/>
    </xf>
    <xf numFmtId="0" fontId="39" fillId="0" borderId="0" xfId="0" applyFont="1" applyAlignment="1" applyProtection="1">
      <alignment horizontal="center" vertical="center"/>
      <protection hidden="1"/>
    </xf>
    <xf numFmtId="22" fontId="39"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4" fontId="15" fillId="12" borderId="76" xfId="0" applyNumberFormat="1" applyFont="1" applyFill="1" applyBorder="1" applyAlignment="1" applyProtection="1">
      <alignment horizontal="center" vertical="center"/>
      <protection locked="0"/>
    </xf>
    <xf numFmtId="4" fontId="15" fillId="12" borderId="77" xfId="0" applyNumberFormat="1" applyFont="1" applyFill="1" applyBorder="1" applyAlignment="1" applyProtection="1">
      <alignment horizontal="center" vertical="center"/>
      <protection locked="0"/>
    </xf>
    <xf numFmtId="4" fontId="15" fillId="12" borderId="78" xfId="0" applyNumberFormat="1" applyFont="1" applyFill="1" applyBorder="1" applyAlignment="1" applyProtection="1">
      <alignment horizontal="center" vertical="center"/>
      <protection locked="0"/>
    </xf>
    <xf numFmtId="0" fontId="15" fillId="12" borderId="78" xfId="0" applyFont="1" applyFill="1" applyBorder="1" applyAlignment="1" applyProtection="1">
      <alignment horizontal="center" vertical="center"/>
      <protection locked="0"/>
    </xf>
    <xf numFmtId="0" fontId="2" fillId="0" borderId="81" xfId="0" applyFont="1" applyBorder="1" applyAlignment="1" applyProtection="1">
      <alignment vertical="center"/>
      <protection hidden="1"/>
    </xf>
    <xf numFmtId="0" fontId="2" fillId="0" borderId="82" xfId="0" applyFont="1" applyBorder="1" applyAlignment="1" applyProtection="1">
      <alignment horizontal="center" vertical="center"/>
      <protection hidden="1"/>
    </xf>
    <xf numFmtId="0" fontId="39" fillId="0" borderId="4" xfId="0" applyFont="1" applyBorder="1" applyAlignment="1" applyProtection="1">
      <alignment horizontal="right" vertical="center" indent="1"/>
      <protection hidden="1"/>
    </xf>
    <xf numFmtId="0" fontId="39" fillId="0" borderId="23" xfId="0" applyFont="1" applyBorder="1" applyAlignment="1" applyProtection="1">
      <alignment horizontal="center" vertical="center"/>
      <protection hidden="1"/>
    </xf>
    <xf numFmtId="0" fontId="5" fillId="11" borderId="87" xfId="0" applyFont="1" applyFill="1" applyBorder="1" applyAlignment="1" applyProtection="1">
      <alignment horizontal="center" vertical="center"/>
      <protection hidden="1"/>
    </xf>
    <xf numFmtId="0" fontId="5" fillId="11" borderId="88" xfId="0" applyFont="1" applyFill="1" applyBorder="1" applyAlignment="1" applyProtection="1">
      <alignment horizontal="center" vertical="center"/>
      <protection hidden="1"/>
    </xf>
    <xf numFmtId="0" fontId="7" fillId="0" borderId="89" xfId="0" applyFont="1" applyBorder="1" applyAlignment="1" applyProtection="1">
      <alignment horizontal="right" vertical="center"/>
      <protection hidden="1"/>
    </xf>
    <xf numFmtId="0" fontId="5" fillId="11" borderId="99" xfId="0" applyFont="1" applyFill="1" applyBorder="1" applyAlignment="1" applyProtection="1">
      <alignment horizontal="center" vertical="center"/>
      <protection hidden="1"/>
    </xf>
    <xf numFmtId="0" fontId="5" fillId="11" borderId="100" xfId="0" applyFont="1" applyFill="1" applyBorder="1" applyAlignment="1" applyProtection="1">
      <alignment horizontal="center" vertical="center"/>
      <protection hidden="1"/>
    </xf>
    <xf numFmtId="0" fontId="39" fillId="0" borderId="89" xfId="0" applyFont="1" applyBorder="1" applyAlignment="1" applyProtection="1">
      <alignment horizontal="right" vertical="center"/>
      <protection hidden="1"/>
    </xf>
    <xf numFmtId="0" fontId="39" fillId="0" borderId="90" xfId="0" applyFont="1" applyBorder="1" applyAlignment="1" applyProtection="1">
      <alignment vertical="center"/>
      <protection hidden="1"/>
    </xf>
    <xf numFmtId="171" fontId="39" fillId="0" borderId="90" xfId="0" applyNumberFormat="1" applyFont="1" applyBorder="1" applyAlignment="1" applyProtection="1">
      <alignment horizontal="center" vertical="center"/>
      <protection hidden="1"/>
    </xf>
    <xf numFmtId="165" fontId="39" fillId="0" borderId="90" xfId="0" applyNumberFormat="1" applyFont="1" applyBorder="1" applyAlignment="1" applyProtection="1">
      <alignment horizontal="center" vertical="center"/>
      <protection hidden="1"/>
    </xf>
    <xf numFmtId="164" fontId="39" fillId="0" borderId="91" xfId="0" applyNumberFormat="1" applyFont="1" applyBorder="1" applyAlignment="1" applyProtection="1">
      <alignment horizontal="center" vertical="center"/>
      <protection hidden="1"/>
    </xf>
    <xf numFmtId="171" fontId="15" fillId="2" borderId="93" xfId="0" applyNumberFormat="1" applyFont="1" applyFill="1" applyBorder="1" applyAlignment="1" applyProtection="1">
      <alignment horizontal="center" vertical="center"/>
      <protection hidden="1"/>
    </xf>
    <xf numFmtId="164" fontId="2" fillId="2" borderId="22" xfId="0" applyNumberFormat="1" applyFont="1" applyFill="1" applyBorder="1" applyAlignment="1" applyProtection="1">
      <alignment horizontal="center" vertical="center"/>
      <protection hidden="1"/>
    </xf>
    <xf numFmtId="164" fontId="2" fillId="2" borderId="20" xfId="0" applyNumberFormat="1" applyFont="1" applyFill="1" applyBorder="1" applyAlignment="1" applyProtection="1">
      <alignment horizontal="center" vertical="center"/>
      <protection hidden="1"/>
    </xf>
    <xf numFmtId="164" fontId="2" fillId="2" borderId="20" xfId="0" applyNumberFormat="1" applyFont="1" applyFill="1" applyBorder="1" applyAlignment="1" applyProtection="1">
      <alignment horizontal="center" vertical="center" wrapText="1"/>
      <protection hidden="1"/>
    </xf>
    <xf numFmtId="164" fontId="2" fillId="2" borderId="28" xfId="0" applyNumberFormat="1" applyFont="1" applyFill="1" applyBorder="1" applyAlignment="1" applyProtection="1">
      <alignment horizontal="center" vertical="center"/>
      <protection hidden="1"/>
    </xf>
    <xf numFmtId="164" fontId="2" fillId="2" borderId="32" xfId="0" applyNumberFormat="1" applyFont="1" applyFill="1" applyBorder="1" applyAlignment="1" applyProtection="1">
      <alignment horizontal="right" vertical="center" indent="1"/>
      <protection hidden="1"/>
    </xf>
    <xf numFmtId="178" fontId="2" fillId="2" borderId="32" xfId="0" applyNumberFormat="1" applyFont="1" applyFill="1" applyBorder="1" applyAlignment="1" applyProtection="1">
      <alignment horizontal="center" vertical="center"/>
      <protection hidden="1"/>
    </xf>
    <xf numFmtId="164" fontId="2" fillId="2" borderId="21" xfId="0" applyNumberFormat="1" applyFont="1" applyFill="1" applyBorder="1" applyAlignment="1" applyProtection="1">
      <alignment horizontal="right" vertical="center" indent="1"/>
      <protection hidden="1"/>
    </xf>
    <xf numFmtId="178" fontId="2" fillId="2" borderId="21" xfId="0" applyNumberFormat="1" applyFont="1" applyFill="1" applyBorder="1" applyAlignment="1" applyProtection="1">
      <alignment horizontal="center" vertical="center"/>
      <protection hidden="1"/>
    </xf>
    <xf numFmtId="0" fontId="1" fillId="2" borderId="23" xfId="0" applyFont="1" applyFill="1" applyBorder="1" applyAlignment="1" applyProtection="1">
      <alignment horizontal="center" vertical="center"/>
      <protection hidden="1"/>
    </xf>
    <xf numFmtId="165" fontId="2" fillId="2" borderId="22" xfId="0" applyNumberFormat="1" applyFont="1" applyFill="1" applyBorder="1" applyAlignment="1" applyProtection="1">
      <alignment horizontal="center" vertical="center"/>
      <protection hidden="1"/>
    </xf>
    <xf numFmtId="165" fontId="2" fillId="2" borderId="20" xfId="0" applyNumberFormat="1" applyFont="1" applyFill="1" applyBorder="1" applyAlignment="1" applyProtection="1">
      <alignment horizontal="center" vertical="center"/>
      <protection hidden="1"/>
    </xf>
    <xf numFmtId="165" fontId="2" fillId="2" borderId="20" xfId="0" applyNumberFormat="1" applyFont="1" applyFill="1" applyBorder="1" applyAlignment="1" applyProtection="1">
      <alignment horizontal="center" vertical="center" wrapText="1"/>
      <protection hidden="1"/>
    </xf>
    <xf numFmtId="165" fontId="2" fillId="2" borderId="21" xfId="0" applyNumberFormat="1" applyFont="1" applyFill="1" applyBorder="1" applyAlignment="1" applyProtection="1">
      <alignment horizontal="center" vertical="center"/>
      <protection hidden="1"/>
    </xf>
    <xf numFmtId="164" fontId="2" fillId="2" borderId="32" xfId="0" applyNumberFormat="1" applyFont="1" applyFill="1" applyBorder="1" applyAlignment="1" applyProtection="1">
      <alignment horizontal="center" vertical="center"/>
      <protection hidden="1"/>
    </xf>
    <xf numFmtId="165" fontId="2" fillId="2" borderId="32" xfId="0" applyNumberFormat="1" applyFont="1" applyFill="1" applyBorder="1" applyAlignment="1" applyProtection="1">
      <alignment horizontal="center" vertical="center"/>
      <protection hidden="1"/>
    </xf>
    <xf numFmtId="0" fontId="2" fillId="0" borderId="95" xfId="0" applyFont="1" applyBorder="1" applyAlignment="1" applyProtection="1">
      <alignment horizontal="right" vertical="center"/>
      <protection hidden="1"/>
    </xf>
    <xf numFmtId="0" fontId="2" fillId="0" borderId="96" xfId="0" applyFont="1" applyBorder="1" applyAlignment="1" applyProtection="1">
      <alignment vertical="center"/>
      <protection hidden="1"/>
    </xf>
    <xf numFmtId="171" fontId="2" fillId="0" borderId="96" xfId="0" applyNumberFormat="1" applyFont="1" applyBorder="1" applyAlignment="1" applyProtection="1">
      <alignment horizontal="center" vertical="center"/>
      <protection hidden="1"/>
    </xf>
    <xf numFmtId="165" fontId="2" fillId="0" borderId="96" xfId="0" applyNumberFormat="1" applyFont="1" applyBorder="1" applyAlignment="1" applyProtection="1">
      <alignment horizontal="center" vertical="center"/>
      <protection hidden="1"/>
    </xf>
    <xf numFmtId="164" fontId="2" fillId="0" borderId="97" xfId="0" applyNumberFormat="1" applyFont="1" applyBorder="1" applyAlignment="1" applyProtection="1">
      <alignment horizontal="center" vertical="center"/>
      <protection hidden="1"/>
    </xf>
    <xf numFmtId="0" fontId="2" fillId="0" borderId="89" xfId="0" applyFont="1" applyBorder="1" applyAlignment="1" applyProtection="1">
      <alignment horizontal="right" vertical="center"/>
      <protection hidden="1"/>
    </xf>
    <xf numFmtId="0" fontId="2" fillId="0" borderId="90" xfId="0" applyFont="1" applyBorder="1" applyAlignment="1" applyProtection="1">
      <alignment vertical="center"/>
      <protection hidden="1"/>
    </xf>
    <xf numFmtId="171" fontId="2" fillId="0" borderId="90" xfId="0" applyNumberFormat="1" applyFont="1" applyBorder="1" applyAlignment="1" applyProtection="1">
      <alignment horizontal="center" vertical="center"/>
      <protection hidden="1"/>
    </xf>
    <xf numFmtId="165" fontId="2" fillId="0" borderId="90" xfId="0" applyNumberFormat="1" applyFont="1" applyBorder="1" applyAlignment="1" applyProtection="1">
      <alignment horizontal="center" vertical="center"/>
      <protection hidden="1"/>
    </xf>
    <xf numFmtId="164" fontId="2" fillId="0" borderId="91" xfId="0" applyNumberFormat="1" applyFont="1" applyBorder="1" applyAlignment="1" applyProtection="1">
      <alignment horizontal="center" vertical="center"/>
      <protection hidden="1"/>
    </xf>
    <xf numFmtId="22" fontId="10" fillId="0" borderId="103" xfId="0" applyNumberFormat="1" applyFont="1" applyBorder="1" applyAlignment="1" applyProtection="1">
      <alignment horizontal="center" vertical="center"/>
      <protection hidden="1"/>
    </xf>
    <xf numFmtId="22" fontId="10" fillId="0" borderId="104" xfId="0" applyNumberFormat="1" applyFont="1" applyBorder="1" applyAlignment="1" applyProtection="1">
      <alignment horizontal="center" vertical="center"/>
      <protection hidden="1"/>
    </xf>
    <xf numFmtId="0" fontId="2" fillId="0" borderId="103" xfId="0" applyFont="1" applyBorder="1" applyAlignment="1" applyProtection="1">
      <alignment vertical="center"/>
      <protection hidden="1"/>
    </xf>
    <xf numFmtId="0" fontId="2" fillId="0" borderId="104" xfId="0" applyFont="1" applyBorder="1" applyAlignment="1" applyProtection="1">
      <alignment horizontal="center" vertical="center"/>
      <protection hidden="1"/>
    </xf>
    <xf numFmtId="0" fontId="2" fillId="0" borderId="105" xfId="0" applyFont="1" applyBorder="1" applyAlignment="1" applyProtection="1">
      <alignment vertical="center"/>
      <protection hidden="1"/>
    </xf>
    <xf numFmtId="0" fontId="2" fillId="0" borderId="106" xfId="0" applyFont="1" applyBorder="1" applyAlignment="1" applyProtection="1">
      <alignment horizontal="center" vertical="center"/>
      <protection hidden="1"/>
    </xf>
    <xf numFmtId="0" fontId="39" fillId="0" borderId="112" xfId="0" applyFont="1" applyBorder="1" applyAlignment="1" applyProtection="1">
      <alignment horizontal="right" vertical="center"/>
      <protection hidden="1"/>
    </xf>
    <xf numFmtId="0" fontId="15" fillId="12" borderId="120" xfId="0" applyFont="1" applyFill="1" applyBorder="1" applyAlignment="1" applyProtection="1">
      <alignment horizontal="center" vertical="center"/>
      <protection locked="0"/>
    </xf>
    <xf numFmtId="168" fontId="15" fillId="12" borderId="121" xfId="0" applyNumberFormat="1" applyFont="1" applyFill="1" applyBorder="1" applyAlignment="1" applyProtection="1">
      <alignment horizontal="center" vertical="center"/>
      <protection locked="0"/>
    </xf>
    <xf numFmtId="171" fontId="39" fillId="2" borderId="115" xfId="0" applyNumberFormat="1" applyFont="1" applyFill="1" applyBorder="1" applyAlignment="1" applyProtection="1">
      <alignment horizontal="center" vertical="center"/>
      <protection hidden="1"/>
    </xf>
    <xf numFmtId="164" fontId="39" fillId="2" borderId="116" xfId="0" applyNumberFormat="1" applyFont="1" applyFill="1" applyBorder="1" applyAlignment="1" applyProtection="1">
      <alignment horizontal="center" vertical="center"/>
      <protection hidden="1"/>
    </xf>
    <xf numFmtId="0" fontId="2" fillId="0" borderId="125" xfId="0" applyFont="1" applyBorder="1" applyAlignment="1" applyProtection="1">
      <alignment horizontal="right" vertical="center"/>
      <protection hidden="1"/>
    </xf>
    <xf numFmtId="171" fontId="2" fillId="0" borderId="126" xfId="0" applyNumberFormat="1" applyFont="1" applyBorder="1" applyAlignment="1" applyProtection="1">
      <alignment horizontal="center" vertical="center"/>
      <protection hidden="1"/>
    </xf>
    <xf numFmtId="165" fontId="2" fillId="0" borderId="126" xfId="0" applyNumberFormat="1" applyFont="1" applyBorder="1" applyAlignment="1" applyProtection="1">
      <alignment horizontal="center" vertical="center"/>
      <protection hidden="1"/>
    </xf>
    <xf numFmtId="164" fontId="2" fillId="0" borderId="127" xfId="0" applyNumberFormat="1" applyFont="1" applyBorder="1" applyAlignment="1" applyProtection="1">
      <alignment horizontal="center" vertical="center"/>
      <protection hidden="1"/>
    </xf>
    <xf numFmtId="0" fontId="39" fillId="0" borderId="125" xfId="0" applyFont="1" applyBorder="1" applyAlignment="1" applyProtection="1">
      <alignment horizontal="right" vertical="center"/>
      <protection hidden="1"/>
    </xf>
    <xf numFmtId="171" fontId="39" fillId="0" borderId="126" xfId="0" applyNumberFormat="1" applyFont="1" applyBorder="1" applyAlignment="1" applyProtection="1">
      <alignment horizontal="center" vertical="center"/>
      <protection hidden="1"/>
    </xf>
    <xf numFmtId="165" fontId="39" fillId="0" borderId="126" xfId="0" applyNumberFormat="1" applyFont="1" applyBorder="1" applyAlignment="1" applyProtection="1">
      <alignment horizontal="center" vertical="center"/>
      <protection hidden="1"/>
    </xf>
    <xf numFmtId="164" fontId="39" fillId="0" borderId="127" xfId="0" applyNumberFormat="1" applyFont="1" applyBorder="1" applyAlignment="1" applyProtection="1">
      <alignment horizontal="center" vertical="center"/>
      <protection hidden="1"/>
    </xf>
    <xf numFmtId="0" fontId="1" fillId="0" borderId="131" xfId="0" applyFont="1" applyBorder="1" applyAlignment="1" applyProtection="1">
      <alignment horizontal="center" vertical="center" wrapText="1"/>
      <protection hidden="1"/>
    </xf>
    <xf numFmtId="0" fontId="1" fillId="0" borderId="132" xfId="0" applyFont="1" applyBorder="1" applyAlignment="1" applyProtection="1">
      <alignment horizontal="center" vertical="center" wrapText="1"/>
      <protection hidden="1"/>
    </xf>
    <xf numFmtId="0" fontId="1" fillId="0" borderId="133" xfId="0" applyFont="1" applyBorder="1" applyAlignment="1" applyProtection="1">
      <alignment horizontal="center" vertical="center" wrapText="1"/>
      <protection hidden="1"/>
    </xf>
    <xf numFmtId="165" fontId="2" fillId="2" borderId="87" xfId="0" applyNumberFormat="1" applyFont="1" applyFill="1" applyBorder="1" applyAlignment="1" applyProtection="1">
      <alignment horizontal="center" vertical="center"/>
      <protection hidden="1"/>
    </xf>
    <xf numFmtId="165" fontId="2" fillId="2" borderId="88" xfId="0" applyNumberFormat="1" applyFont="1" applyFill="1" applyBorder="1" applyAlignment="1" applyProtection="1">
      <alignment horizontal="center" vertical="center"/>
      <protection hidden="1"/>
    </xf>
    <xf numFmtId="165" fontId="2" fillId="2" borderId="90" xfId="0" applyNumberFormat="1" applyFont="1" applyFill="1" applyBorder="1" applyAlignment="1" applyProtection="1">
      <alignment horizontal="center" vertical="center"/>
      <protection hidden="1"/>
    </xf>
    <xf numFmtId="165" fontId="2" fillId="2" borderId="91" xfId="0" applyNumberFormat="1" applyFont="1" applyFill="1" applyBorder="1" applyAlignment="1" applyProtection="1">
      <alignment horizontal="center" vertical="center"/>
      <protection hidden="1"/>
    </xf>
    <xf numFmtId="4" fontId="2" fillId="2" borderId="90" xfId="0" applyNumberFormat="1" applyFont="1" applyFill="1" applyBorder="1" applyAlignment="1" applyProtection="1">
      <alignment horizontal="center" vertical="center"/>
      <protection hidden="1"/>
    </xf>
    <xf numFmtId="4" fontId="2" fillId="2" borderId="93" xfId="0" applyNumberFormat="1" applyFont="1" applyFill="1" applyBorder="1" applyAlignment="1" applyProtection="1">
      <alignment horizontal="center" vertical="center"/>
      <protection hidden="1"/>
    </xf>
    <xf numFmtId="165" fontId="2" fillId="2" borderId="93" xfId="0" applyNumberFormat="1" applyFont="1" applyFill="1" applyBorder="1" applyAlignment="1" applyProtection="1">
      <alignment horizontal="center" vertical="center"/>
      <protection hidden="1"/>
    </xf>
    <xf numFmtId="165" fontId="2" fillId="2" borderId="94" xfId="0" applyNumberFormat="1" applyFont="1" applyFill="1" applyBorder="1" applyAlignment="1" applyProtection="1">
      <alignment horizontal="center" vertical="center"/>
      <protection hidden="1"/>
    </xf>
    <xf numFmtId="165" fontId="2" fillId="2" borderId="135" xfId="0" applyNumberFormat="1" applyFont="1" applyFill="1" applyBorder="1" applyAlignment="1" applyProtection="1">
      <alignment horizontal="center" vertical="center"/>
      <protection hidden="1"/>
    </xf>
    <xf numFmtId="4" fontId="2" fillId="2" borderId="136" xfId="0" applyNumberFormat="1" applyFont="1" applyFill="1" applyBorder="1" applyAlignment="1" applyProtection="1">
      <alignment horizontal="center" vertical="center"/>
      <protection hidden="1"/>
    </xf>
    <xf numFmtId="4" fontId="2" fillId="2" borderId="96" xfId="0" applyNumberFormat="1" applyFont="1" applyFill="1" applyBorder="1" applyAlignment="1" applyProtection="1">
      <alignment horizontal="center" vertical="center"/>
      <protection hidden="1"/>
    </xf>
    <xf numFmtId="4" fontId="1" fillId="12" borderId="137" xfId="0" applyNumberFormat="1" applyFont="1" applyFill="1" applyBorder="1" applyAlignment="1" applyProtection="1">
      <alignment horizontal="center" vertical="center"/>
      <protection locked="0"/>
    </xf>
    <xf numFmtId="4" fontId="1" fillId="12" borderId="138" xfId="0" applyNumberFormat="1" applyFont="1" applyFill="1" applyBorder="1" applyAlignment="1" applyProtection="1">
      <alignment horizontal="center" vertical="center"/>
      <protection locked="0"/>
    </xf>
    <xf numFmtId="4" fontId="1" fillId="12" borderId="139" xfId="0" applyNumberFormat="1" applyFont="1" applyFill="1" applyBorder="1" applyAlignment="1" applyProtection="1">
      <alignment horizontal="center" vertical="center"/>
      <protection locked="0"/>
    </xf>
    <xf numFmtId="0" fontId="4" fillId="0" borderId="111" xfId="0" applyFont="1" applyBorder="1" applyAlignment="1" applyProtection="1">
      <alignment horizontal="center" vertical="center"/>
      <protection hidden="1"/>
    </xf>
    <xf numFmtId="171" fontId="2" fillId="2" borderId="113" xfId="0" applyNumberFormat="1" applyFont="1" applyFill="1" applyBorder="1" applyAlignment="1" applyProtection="1">
      <alignment horizontal="center" vertical="center"/>
      <protection hidden="1"/>
    </xf>
    <xf numFmtId="171" fontId="2" fillId="2" borderId="147" xfId="0" applyNumberFormat="1" applyFont="1" applyFill="1" applyBorder="1" applyAlignment="1" applyProtection="1">
      <alignment horizontal="center" vertical="center"/>
      <protection hidden="1"/>
    </xf>
    <xf numFmtId="0" fontId="2" fillId="2" borderId="148" xfId="0" applyFont="1" applyFill="1" applyBorder="1" applyAlignment="1" applyProtection="1">
      <alignment horizontal="right" vertical="center" indent="1"/>
      <protection hidden="1"/>
    </xf>
    <xf numFmtId="0" fontId="2" fillId="2" borderId="150" xfId="0" applyFont="1" applyFill="1" applyBorder="1" applyAlignment="1" applyProtection="1">
      <alignment horizontal="right" vertical="center" indent="1"/>
      <protection hidden="1"/>
    </xf>
    <xf numFmtId="0" fontId="1" fillId="2" borderId="111" xfId="0" applyFont="1" applyFill="1" applyBorder="1" applyAlignment="1" applyProtection="1">
      <alignment horizontal="center" vertical="center"/>
      <protection hidden="1"/>
    </xf>
    <xf numFmtId="0" fontId="2" fillId="2" borderId="114" xfId="0" applyFont="1" applyFill="1" applyBorder="1" applyAlignment="1" applyProtection="1">
      <alignment horizontal="right" vertical="center" indent="1"/>
      <protection hidden="1"/>
    </xf>
    <xf numFmtId="164" fontId="2" fillId="2" borderId="115" xfId="0" applyNumberFormat="1" applyFont="1" applyFill="1" applyBorder="1" applyAlignment="1" applyProtection="1">
      <alignment horizontal="center" vertical="center"/>
      <protection hidden="1"/>
    </xf>
    <xf numFmtId="165" fontId="2" fillId="2" borderId="115" xfId="0" applyNumberFormat="1" applyFont="1" applyFill="1" applyBorder="1" applyAlignment="1" applyProtection="1">
      <alignment horizontal="center" vertical="center"/>
      <protection hidden="1"/>
    </xf>
    <xf numFmtId="0" fontId="2" fillId="2" borderId="112" xfId="0" applyFont="1" applyFill="1" applyBorder="1" applyAlignment="1" applyProtection="1">
      <alignment horizontal="right" vertical="center" indent="1"/>
      <protection hidden="1"/>
    </xf>
    <xf numFmtId="0" fontId="5" fillId="11" borderId="155" xfId="0" applyFont="1" applyFill="1" applyBorder="1" applyAlignment="1" applyProtection="1">
      <alignment horizontal="right" vertical="center" indent="1"/>
      <protection hidden="1"/>
    </xf>
    <xf numFmtId="0" fontId="2" fillId="2" borderId="112" xfId="0" applyFont="1" applyFill="1" applyBorder="1" applyAlignment="1" applyProtection="1">
      <alignment horizontal="right" vertical="center"/>
      <protection hidden="1"/>
    </xf>
    <xf numFmtId="0" fontId="2" fillId="2" borderId="89" xfId="0" applyFont="1" applyFill="1" applyBorder="1" applyAlignment="1" applyProtection="1">
      <alignment horizontal="right" vertical="center" indent="1"/>
      <protection hidden="1"/>
    </xf>
    <xf numFmtId="0" fontId="1" fillId="2" borderId="89" xfId="0" applyFont="1" applyFill="1" applyBorder="1" applyAlignment="1" applyProtection="1">
      <alignment horizontal="right" vertical="center" indent="1"/>
      <protection hidden="1"/>
    </xf>
    <xf numFmtId="0" fontId="42" fillId="2" borderId="158" xfId="0" applyFont="1" applyFill="1" applyBorder="1" applyAlignment="1" applyProtection="1">
      <alignment horizontal="right" vertical="center" indent="1"/>
      <protection hidden="1"/>
    </xf>
    <xf numFmtId="175" fontId="42" fillId="2" borderId="159" xfId="1" applyNumberFormat="1" applyFont="1" applyFill="1" applyBorder="1" applyAlignment="1" applyProtection="1">
      <alignment horizontal="center" vertical="center"/>
      <protection hidden="1"/>
    </xf>
    <xf numFmtId="0" fontId="7" fillId="2" borderId="0" xfId="0" applyFont="1" applyFill="1" applyAlignment="1" applyProtection="1">
      <alignment horizontal="center" vertical="center" wrapText="1"/>
      <protection hidden="1"/>
    </xf>
    <xf numFmtId="0" fontId="2" fillId="2" borderId="86" xfId="0" applyFont="1" applyFill="1" applyBorder="1" applyAlignment="1" applyProtection="1">
      <alignment horizontal="right" vertical="center" wrapText="1" indent="1"/>
      <protection hidden="1"/>
    </xf>
    <xf numFmtId="0" fontId="1" fillId="2" borderId="88" xfId="0" applyFont="1" applyFill="1" applyBorder="1" applyAlignment="1" applyProtection="1">
      <alignment horizontal="center" vertical="center" wrapText="1"/>
      <protection hidden="1"/>
    </xf>
    <xf numFmtId="172" fontId="1" fillId="2" borderId="91" xfId="0" applyNumberFormat="1" applyFont="1" applyFill="1" applyBorder="1" applyAlignment="1" applyProtection="1">
      <alignment horizontal="center" vertical="center"/>
      <protection hidden="1"/>
    </xf>
    <xf numFmtId="0" fontId="2" fillId="2" borderId="92" xfId="0" applyFont="1" applyFill="1" applyBorder="1" applyAlignment="1" applyProtection="1">
      <alignment horizontal="right" vertical="center" indent="1"/>
      <protection hidden="1"/>
    </xf>
    <xf numFmtId="167" fontId="1" fillId="2" borderId="94" xfId="0" applyNumberFormat="1" applyFont="1" applyFill="1" applyBorder="1" applyAlignment="1" applyProtection="1">
      <alignment horizontal="center" vertical="center"/>
      <protection hidden="1"/>
    </xf>
    <xf numFmtId="2" fontId="2" fillId="2" borderId="160" xfId="0" applyNumberFormat="1" applyFont="1" applyFill="1" applyBorder="1" applyAlignment="1" applyProtection="1">
      <alignment horizontal="right" vertical="center" indent="1"/>
      <protection hidden="1"/>
    </xf>
    <xf numFmtId="172" fontId="15" fillId="12" borderId="137" xfId="0" applyNumberFormat="1" applyFont="1" applyFill="1" applyBorder="1" applyAlignment="1" applyProtection="1">
      <alignment horizontal="center" vertical="center"/>
      <protection locked="0"/>
    </xf>
    <xf numFmtId="172" fontId="15" fillId="12" borderId="139" xfId="0" applyNumberFormat="1" applyFont="1" applyFill="1" applyBorder="1" applyAlignment="1" applyProtection="1">
      <alignment horizontal="center" vertical="center"/>
      <protection locked="0"/>
    </xf>
    <xf numFmtId="0" fontId="15" fillId="4" borderId="155" xfId="0" applyFont="1" applyFill="1" applyBorder="1" applyAlignment="1" applyProtection="1">
      <alignment horizontal="center" vertical="center"/>
      <protection hidden="1"/>
    </xf>
    <xf numFmtId="0" fontId="15" fillId="4" borderId="111" xfId="0" applyFont="1" applyFill="1" applyBorder="1" applyAlignment="1" applyProtection="1">
      <alignment horizontal="center" vertical="center" wrapText="1"/>
      <protection hidden="1"/>
    </xf>
    <xf numFmtId="164" fontId="39" fillId="2" borderId="113" xfId="0" applyNumberFormat="1" applyFont="1" applyFill="1" applyBorder="1" applyAlignment="1" applyProtection="1">
      <alignment horizontal="center" vertical="center"/>
      <protection hidden="1"/>
    </xf>
    <xf numFmtId="2" fontId="39" fillId="2" borderId="112" xfId="0" applyNumberFormat="1" applyFont="1" applyFill="1" applyBorder="1" applyAlignment="1" applyProtection="1">
      <alignment horizontal="right" vertical="center" indent="1"/>
      <protection hidden="1"/>
    </xf>
    <xf numFmtId="164" fontId="39" fillId="2" borderId="153" xfId="0" applyNumberFormat="1" applyFont="1" applyFill="1" applyBorder="1" applyAlignment="1" applyProtection="1">
      <alignment horizontal="center" vertical="center"/>
      <protection hidden="1"/>
    </xf>
    <xf numFmtId="0" fontId="39" fillId="2" borderId="118" xfId="0" applyFont="1" applyFill="1" applyBorder="1" applyAlignment="1" applyProtection="1">
      <alignment horizontal="right" vertical="center" indent="1"/>
      <protection hidden="1"/>
    </xf>
    <xf numFmtId="0" fontId="39" fillId="2" borderId="114" xfId="0" applyFont="1" applyFill="1" applyBorder="1" applyAlignment="1" applyProtection="1">
      <alignment horizontal="right" vertical="center" indent="1"/>
      <protection hidden="1"/>
    </xf>
    <xf numFmtId="2" fontId="39" fillId="2" borderId="156" xfId="0" applyNumberFormat="1" applyFont="1" applyFill="1" applyBorder="1" applyAlignment="1" applyProtection="1">
      <alignment horizontal="right" vertical="center" indent="1"/>
      <protection hidden="1"/>
    </xf>
    <xf numFmtId="164" fontId="39" fillId="2" borderId="161" xfId="0" applyNumberFormat="1" applyFont="1" applyFill="1" applyBorder="1" applyAlignment="1" applyProtection="1">
      <alignment horizontal="center" vertical="center"/>
      <protection hidden="1"/>
    </xf>
    <xf numFmtId="171" fontId="39" fillId="2" borderId="161" xfId="0" applyNumberFormat="1" applyFont="1" applyFill="1" applyBorder="1" applyAlignment="1" applyProtection="1">
      <alignment horizontal="center" vertical="center"/>
      <protection hidden="1"/>
    </xf>
    <xf numFmtId="164" fontId="39" fillId="2" borderId="157" xfId="0" applyNumberFormat="1" applyFont="1" applyFill="1" applyBorder="1" applyAlignment="1" applyProtection="1">
      <alignment horizontal="center" vertical="center"/>
      <protection hidden="1"/>
    </xf>
    <xf numFmtId="2" fontId="39" fillId="2" borderId="89" xfId="0" applyNumberFormat="1" applyFont="1" applyFill="1" applyBorder="1" applyAlignment="1" applyProtection="1">
      <alignment horizontal="right" vertical="center" indent="1"/>
      <protection hidden="1"/>
    </xf>
    <xf numFmtId="164" fontId="39" fillId="2" borderId="90" xfId="0" applyNumberFormat="1" applyFont="1" applyFill="1" applyBorder="1" applyAlignment="1" applyProtection="1">
      <alignment horizontal="center" vertical="center"/>
      <protection hidden="1"/>
    </xf>
    <xf numFmtId="171" fontId="39" fillId="2" borderId="90" xfId="0" applyNumberFormat="1" applyFont="1" applyFill="1" applyBorder="1" applyAlignment="1" applyProtection="1">
      <alignment horizontal="center" vertical="center"/>
      <protection hidden="1"/>
    </xf>
    <xf numFmtId="164" fontId="39" fillId="2" borderId="91" xfId="0" applyNumberFormat="1" applyFont="1" applyFill="1" applyBorder="1" applyAlignment="1" applyProtection="1">
      <alignment horizontal="center" vertical="center"/>
      <protection hidden="1"/>
    </xf>
    <xf numFmtId="164" fontId="39" fillId="2" borderId="93" xfId="0" applyNumberFormat="1" applyFont="1" applyFill="1" applyBorder="1" applyAlignment="1" applyProtection="1">
      <alignment horizontal="center" vertical="center"/>
      <protection hidden="1"/>
    </xf>
    <xf numFmtId="171" fontId="39" fillId="2" borderId="93" xfId="0" applyNumberFormat="1" applyFont="1" applyFill="1" applyBorder="1" applyAlignment="1" applyProtection="1">
      <alignment horizontal="center" vertical="center"/>
      <protection hidden="1"/>
    </xf>
    <xf numFmtId="164" fontId="39" fillId="2" borderId="94" xfId="0" applyNumberFormat="1" applyFont="1" applyFill="1" applyBorder="1" applyAlignment="1" applyProtection="1">
      <alignment horizontal="center" vertical="center"/>
      <protection hidden="1"/>
    </xf>
    <xf numFmtId="2" fontId="39" fillId="2" borderId="125" xfId="0" applyNumberFormat="1" applyFont="1" applyFill="1" applyBorder="1" applyAlignment="1" applyProtection="1">
      <alignment horizontal="right" vertical="center" indent="1"/>
      <protection hidden="1"/>
    </xf>
    <xf numFmtId="164" fontId="39" fillId="2" borderId="126" xfId="0" applyNumberFormat="1" applyFont="1" applyFill="1" applyBorder="1" applyAlignment="1" applyProtection="1">
      <alignment horizontal="center" vertical="center"/>
      <protection hidden="1"/>
    </xf>
    <xf numFmtId="171" fontId="39" fillId="2" borderId="126" xfId="0" applyNumberFormat="1" applyFont="1" applyFill="1" applyBorder="1" applyAlignment="1" applyProtection="1">
      <alignment horizontal="center" vertical="center"/>
      <protection hidden="1"/>
    </xf>
    <xf numFmtId="164" fontId="39" fillId="2" borderId="127" xfId="0" applyNumberFormat="1" applyFont="1" applyFill="1" applyBorder="1" applyAlignment="1" applyProtection="1">
      <alignment horizontal="center" vertical="center"/>
      <protection hidden="1"/>
    </xf>
    <xf numFmtId="0" fontId="39" fillId="2" borderId="156" xfId="0" applyFont="1" applyFill="1" applyBorder="1" applyAlignment="1" applyProtection="1">
      <alignment horizontal="right" vertical="center" indent="1"/>
      <protection hidden="1"/>
    </xf>
    <xf numFmtId="0" fontId="39" fillId="2" borderId="92" xfId="0" applyFont="1" applyFill="1" applyBorder="1" applyAlignment="1" applyProtection="1">
      <alignment horizontal="right" vertical="center" indent="1"/>
      <protection hidden="1"/>
    </xf>
    <xf numFmtId="0" fontId="15" fillId="12" borderId="94" xfId="0" applyFont="1" applyFill="1" applyBorder="1" applyAlignment="1" applyProtection="1">
      <alignment horizontal="center" vertical="center"/>
      <protection locked="0"/>
    </xf>
    <xf numFmtId="0" fontId="39" fillId="0" borderId="156" xfId="0" applyFont="1" applyBorder="1" applyAlignment="1" applyProtection="1">
      <alignment horizontal="right" vertical="center" wrapText="1" indent="1"/>
      <protection hidden="1"/>
    </xf>
    <xf numFmtId="0" fontId="15" fillId="2" borderId="157" xfId="0" applyFont="1" applyFill="1" applyBorder="1" applyAlignment="1" applyProtection="1">
      <alignment horizontal="center" vertical="center" wrapText="1"/>
      <protection hidden="1"/>
    </xf>
    <xf numFmtId="0" fontId="39" fillId="0" borderId="89" xfId="0" applyFont="1" applyBorder="1" applyAlignment="1" applyProtection="1">
      <alignment horizontal="right" vertical="center" indent="1"/>
      <protection hidden="1"/>
    </xf>
    <xf numFmtId="166" fontId="15" fillId="2" borderId="91" xfId="0" applyNumberFormat="1" applyFont="1" applyFill="1" applyBorder="1" applyAlignment="1" applyProtection="1">
      <alignment horizontal="center" vertical="center"/>
      <protection hidden="1"/>
    </xf>
    <xf numFmtId="0" fontId="39" fillId="2" borderId="89" xfId="0" applyFont="1" applyFill="1" applyBorder="1" applyAlignment="1" applyProtection="1">
      <alignment horizontal="right" vertical="center" indent="1"/>
      <protection hidden="1"/>
    </xf>
    <xf numFmtId="0" fontId="39" fillId="0" borderId="92" xfId="0" applyFont="1" applyBorder="1" applyAlignment="1" applyProtection="1">
      <alignment horizontal="right" vertical="center" indent="1"/>
      <protection hidden="1"/>
    </xf>
    <xf numFmtId="167" fontId="15" fillId="0" borderId="94" xfId="0" applyNumberFormat="1" applyFont="1" applyBorder="1" applyAlignment="1" applyProtection="1">
      <alignment horizontal="center" vertical="center"/>
      <protection hidden="1"/>
    </xf>
    <xf numFmtId="0" fontId="5" fillId="11" borderId="134" xfId="0" applyFont="1" applyFill="1" applyBorder="1" applyAlignment="1" applyProtection="1">
      <alignment horizontal="right" vertical="center" indent="1"/>
      <protection hidden="1"/>
    </xf>
    <xf numFmtId="0" fontId="39" fillId="0" borderId="156" xfId="0" applyFont="1" applyBorder="1" applyAlignment="1" applyProtection="1">
      <alignment horizontal="right" vertical="center" indent="1"/>
      <protection hidden="1"/>
    </xf>
    <xf numFmtId="0" fontId="15" fillId="0" borderId="89" xfId="0" applyFont="1" applyBorder="1" applyAlignment="1" applyProtection="1">
      <alignment horizontal="right" vertical="center" indent="1"/>
      <protection hidden="1"/>
    </xf>
    <xf numFmtId="0" fontId="40" fillId="0" borderId="92" xfId="0" applyFont="1" applyBorder="1" applyAlignment="1" applyProtection="1">
      <alignment horizontal="right" vertical="center" indent="1"/>
      <protection hidden="1"/>
    </xf>
    <xf numFmtId="175" fontId="40" fillId="2" borderId="94" xfId="1" applyNumberFormat="1" applyFont="1" applyFill="1" applyBorder="1" applyAlignment="1" applyProtection="1">
      <alignment horizontal="center" vertical="center"/>
      <protection hidden="1"/>
    </xf>
    <xf numFmtId="0" fontId="39" fillId="0" borderId="92" xfId="0" applyFont="1" applyBorder="1" applyAlignment="1" applyProtection="1">
      <alignment horizontal="right" vertical="center"/>
      <protection hidden="1"/>
    </xf>
    <xf numFmtId="167" fontId="15" fillId="2" borderId="94" xfId="0" applyNumberFormat="1" applyFont="1" applyFill="1" applyBorder="1" applyAlignment="1" applyProtection="1">
      <alignment horizontal="center" vertical="center"/>
      <protection hidden="1"/>
    </xf>
    <xf numFmtId="0" fontId="39" fillId="0" borderId="156" xfId="0" applyFont="1" applyBorder="1" applyAlignment="1" applyProtection="1">
      <alignment horizontal="right" vertical="center"/>
      <protection hidden="1"/>
    </xf>
    <xf numFmtId="171" fontId="15" fillId="0" borderId="161" xfId="0" applyNumberFormat="1" applyFont="1" applyBorder="1" applyAlignment="1" applyProtection="1">
      <alignment horizontal="center" vertical="center"/>
      <protection hidden="1"/>
    </xf>
    <xf numFmtId="171" fontId="15" fillId="0" borderId="93" xfId="0" applyNumberFormat="1" applyFont="1" applyBorder="1" applyAlignment="1" applyProtection="1">
      <alignment horizontal="center" vertical="center"/>
      <protection hidden="1"/>
    </xf>
    <xf numFmtId="2" fontId="39" fillId="0" borderId="160" xfId="0" applyNumberFormat="1" applyFont="1" applyBorder="1" applyAlignment="1" applyProtection="1">
      <alignment horizontal="right" vertical="center" indent="1"/>
      <protection hidden="1"/>
    </xf>
    <xf numFmtId="166" fontId="15" fillId="2" borderId="127" xfId="0" applyNumberFormat="1" applyFont="1" applyFill="1" applyBorder="1" applyAlignment="1" applyProtection="1">
      <alignment horizontal="center" vertical="center"/>
      <protection hidden="1"/>
    </xf>
    <xf numFmtId="166" fontId="15" fillId="2" borderId="97" xfId="0" applyNumberFormat="1" applyFont="1" applyFill="1" applyBorder="1" applyAlignment="1" applyProtection="1">
      <alignment horizontal="center" vertical="center"/>
      <protection hidden="1"/>
    </xf>
    <xf numFmtId="0" fontId="39" fillId="0" borderId="160" xfId="0" applyFont="1" applyBorder="1" applyAlignment="1" applyProtection="1">
      <alignment horizontal="right" vertical="center" indent="1"/>
      <protection hidden="1"/>
    </xf>
    <xf numFmtId="0" fontId="15" fillId="12" borderId="85" xfId="0" applyFont="1" applyFill="1" applyBorder="1" applyAlignment="1" applyProtection="1">
      <alignment horizontal="center" vertical="center"/>
      <protection locked="0"/>
    </xf>
    <xf numFmtId="0" fontId="2" fillId="0" borderId="137" xfId="0" applyFont="1" applyBorder="1" applyAlignment="1" applyProtection="1">
      <alignment horizontal="right" vertical="center" indent="1"/>
      <protection hidden="1"/>
    </xf>
    <xf numFmtId="0" fontId="2" fillId="0" borderId="138" xfId="0" applyFont="1" applyBorder="1" applyAlignment="1" applyProtection="1">
      <alignment horizontal="right" vertical="center" indent="1"/>
      <protection hidden="1"/>
    </xf>
    <xf numFmtId="0" fontId="2" fillId="0" borderId="166" xfId="0" applyFont="1" applyBorder="1" applyAlignment="1" applyProtection="1">
      <alignment horizontal="right" vertical="center" indent="1"/>
      <protection hidden="1"/>
    </xf>
    <xf numFmtId="3" fontId="1" fillId="2" borderId="125" xfId="0" applyNumberFormat="1" applyFont="1" applyFill="1" applyBorder="1" applyAlignment="1" applyProtection="1">
      <alignment horizontal="center" vertical="center"/>
      <protection hidden="1"/>
    </xf>
    <xf numFmtId="4" fontId="2" fillId="2" borderId="126" xfId="0" applyNumberFormat="1" applyFont="1" applyFill="1" applyBorder="1" applyAlignment="1" applyProtection="1">
      <alignment horizontal="center" vertical="center"/>
      <protection hidden="1"/>
    </xf>
    <xf numFmtId="165" fontId="2" fillId="2" borderId="126" xfId="0" applyNumberFormat="1" applyFont="1" applyFill="1" applyBorder="1" applyAlignment="1" applyProtection="1">
      <alignment horizontal="center" vertical="center"/>
      <protection hidden="1"/>
    </xf>
    <xf numFmtId="165" fontId="2" fillId="2" borderId="127" xfId="0" applyNumberFormat="1" applyFont="1" applyFill="1" applyBorder="1" applyAlignment="1" applyProtection="1">
      <alignment horizontal="center" vertical="center"/>
      <protection hidden="1"/>
    </xf>
    <xf numFmtId="0" fontId="2" fillId="0" borderId="171" xfId="0" applyFont="1" applyBorder="1" applyAlignment="1" applyProtection="1">
      <alignment horizontal="center" vertical="center"/>
      <protection hidden="1"/>
    </xf>
    <xf numFmtId="0" fontId="2" fillId="0" borderId="86" xfId="0" applyFont="1" applyBorder="1" applyAlignment="1" applyProtection="1">
      <alignment horizontal="right" vertical="center"/>
      <protection hidden="1"/>
    </xf>
    <xf numFmtId="171" fontId="1" fillId="0" borderId="87" xfId="0" applyNumberFormat="1" applyFont="1" applyBorder="1" applyAlignment="1" applyProtection="1">
      <alignment horizontal="center" vertical="center"/>
      <protection hidden="1"/>
    </xf>
    <xf numFmtId="0" fontId="2" fillId="0" borderId="92" xfId="0" applyFont="1" applyBorder="1" applyAlignment="1" applyProtection="1">
      <alignment horizontal="right" vertical="center"/>
      <protection hidden="1"/>
    </xf>
    <xf numFmtId="171" fontId="1" fillId="0" borderId="93" xfId="0" applyNumberFormat="1" applyFont="1" applyBorder="1" applyAlignment="1" applyProtection="1">
      <alignment horizontal="center" vertical="center"/>
      <protection hidden="1"/>
    </xf>
    <xf numFmtId="0" fontId="1" fillId="0" borderId="99" xfId="0" applyFont="1" applyBorder="1" applyAlignment="1" applyProtection="1">
      <alignment horizontal="center" vertical="center"/>
      <protection hidden="1"/>
    </xf>
    <xf numFmtId="0" fontId="1" fillId="0" borderId="100" xfId="0" applyFont="1" applyBorder="1" applyAlignment="1" applyProtection="1">
      <alignment horizontal="center" vertical="center"/>
      <protection hidden="1"/>
    </xf>
    <xf numFmtId="164" fontId="2" fillId="2" borderId="87" xfId="0" applyNumberFormat="1" applyFont="1" applyFill="1" applyBorder="1" applyAlignment="1" applyProtection="1">
      <alignment horizontal="center" vertical="center"/>
      <protection hidden="1"/>
    </xf>
    <xf numFmtId="171" fontId="2" fillId="2" borderId="88" xfId="0" applyNumberFormat="1" applyFont="1" applyFill="1" applyBorder="1" applyAlignment="1" applyProtection="1">
      <alignment horizontal="center" vertical="center"/>
      <protection hidden="1"/>
    </xf>
    <xf numFmtId="164" fontId="2" fillId="2" borderId="90" xfId="0" applyNumberFormat="1" applyFont="1" applyFill="1" applyBorder="1" applyAlignment="1" applyProtection="1">
      <alignment horizontal="center" vertical="center"/>
      <protection hidden="1"/>
    </xf>
    <xf numFmtId="171" fontId="2" fillId="2" borderId="91" xfId="0" applyNumberFormat="1" applyFont="1" applyFill="1" applyBorder="1" applyAlignment="1" applyProtection="1">
      <alignment horizontal="center" vertical="center"/>
      <protection hidden="1"/>
    </xf>
    <xf numFmtId="164" fontId="2" fillId="2" borderId="90" xfId="0" applyNumberFormat="1" applyFont="1" applyFill="1" applyBorder="1" applyAlignment="1" applyProtection="1">
      <alignment horizontal="center" vertical="center" wrapText="1"/>
      <protection hidden="1"/>
    </xf>
    <xf numFmtId="164" fontId="2" fillId="2" borderId="126" xfId="0" applyNumberFormat="1" applyFont="1" applyFill="1" applyBorder="1" applyAlignment="1" applyProtection="1">
      <alignment horizontal="center" vertical="center"/>
      <protection hidden="1"/>
    </xf>
    <xf numFmtId="171" fontId="2" fillId="2" borderId="127" xfId="0" applyNumberFormat="1" applyFont="1" applyFill="1" applyBorder="1" applyAlignment="1" applyProtection="1">
      <alignment horizontal="center" vertical="center"/>
      <protection hidden="1"/>
    </xf>
    <xf numFmtId="0" fontId="2" fillId="2" borderId="86" xfId="0" applyFont="1" applyFill="1" applyBorder="1" applyAlignment="1" applyProtection="1">
      <alignment horizontal="right" vertical="center" indent="1"/>
      <protection hidden="1"/>
    </xf>
    <xf numFmtId="0" fontId="2" fillId="2" borderId="158" xfId="0" applyFont="1" applyFill="1" applyBorder="1" applyAlignment="1" applyProtection="1">
      <alignment horizontal="right" vertical="center" indent="1"/>
      <protection hidden="1"/>
    </xf>
    <xf numFmtId="164" fontId="2" fillId="2" borderId="178" xfId="0" applyNumberFormat="1" applyFont="1" applyFill="1" applyBorder="1" applyAlignment="1" applyProtection="1">
      <alignment horizontal="center" vertical="center"/>
      <protection hidden="1"/>
    </xf>
    <xf numFmtId="0" fontId="1" fillId="2" borderId="27" xfId="0" applyFont="1" applyFill="1" applyBorder="1" applyAlignment="1" applyProtection="1">
      <alignment horizontal="center" vertical="center"/>
      <protection hidden="1"/>
    </xf>
    <xf numFmtId="0" fontId="1" fillId="2" borderId="180"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wrapText="1"/>
      <protection hidden="1"/>
    </xf>
    <xf numFmtId="175" fontId="42" fillId="2" borderId="94" xfId="1" applyNumberFormat="1" applyFont="1" applyFill="1" applyBorder="1" applyAlignment="1" applyProtection="1">
      <alignment horizontal="center" vertical="center"/>
      <protection hidden="1"/>
    </xf>
    <xf numFmtId="0" fontId="42" fillId="2" borderId="92" xfId="0" applyFont="1" applyFill="1" applyBorder="1" applyAlignment="1" applyProtection="1">
      <alignment horizontal="right" vertical="center" indent="1"/>
      <protection hidden="1"/>
    </xf>
    <xf numFmtId="0" fontId="5" fillId="11" borderId="72" xfId="0" applyFont="1" applyFill="1" applyBorder="1" applyAlignment="1" applyProtection="1">
      <alignment horizontal="right" vertical="center" indent="1"/>
      <protection hidden="1"/>
    </xf>
    <xf numFmtId="0" fontId="7" fillId="0" borderId="86" xfId="0" applyFont="1" applyBorder="1" applyAlignment="1" applyProtection="1">
      <alignment horizontal="right" vertical="center" indent="1"/>
      <protection hidden="1"/>
    </xf>
    <xf numFmtId="0" fontId="2" fillId="2" borderId="89" xfId="0" applyFont="1" applyFill="1" applyBorder="1" applyAlignment="1" applyProtection="1">
      <alignment horizontal="right" vertical="center"/>
      <protection hidden="1"/>
    </xf>
    <xf numFmtId="0" fontId="1" fillId="12" borderId="85" xfId="0" applyFont="1" applyFill="1" applyBorder="1" applyAlignment="1" applyProtection="1">
      <alignment horizontal="center" vertical="center"/>
      <protection locked="0"/>
    </xf>
    <xf numFmtId="0" fontId="5" fillId="11" borderId="98" xfId="0" applyFont="1" applyFill="1" applyBorder="1" applyAlignment="1" applyProtection="1">
      <alignment horizontal="right" vertical="center" indent="1"/>
      <protection hidden="1"/>
    </xf>
    <xf numFmtId="3" fontId="5" fillId="11" borderId="99" xfId="0" applyNumberFormat="1" applyFont="1" applyFill="1" applyBorder="1" applyAlignment="1" applyProtection="1">
      <alignment horizontal="center" vertical="center"/>
      <protection hidden="1"/>
    </xf>
    <xf numFmtId="4" fontId="5" fillId="11" borderId="99" xfId="0" applyNumberFormat="1" applyFont="1" applyFill="1" applyBorder="1" applyAlignment="1" applyProtection="1">
      <alignment horizontal="center" vertical="center"/>
      <protection hidden="1"/>
    </xf>
    <xf numFmtId="165" fontId="5" fillId="11" borderId="100" xfId="0" applyNumberFormat="1" applyFont="1" applyFill="1" applyBorder="1" applyAlignment="1" applyProtection="1">
      <alignment horizontal="center" vertical="center"/>
      <protection hidden="1"/>
    </xf>
    <xf numFmtId="3" fontId="5" fillId="11" borderId="73" xfId="0" applyNumberFormat="1" applyFont="1" applyFill="1" applyBorder="1" applyAlignment="1" applyProtection="1">
      <alignment horizontal="center" vertical="center"/>
      <protection hidden="1"/>
    </xf>
    <xf numFmtId="4" fontId="5" fillId="11" borderId="74" xfId="0" applyNumberFormat="1" applyFont="1" applyFill="1" applyBorder="1" applyAlignment="1" applyProtection="1">
      <alignment horizontal="center" vertical="center"/>
      <protection hidden="1"/>
    </xf>
    <xf numFmtId="165" fontId="5" fillId="11" borderId="74" xfId="0" applyNumberFormat="1" applyFont="1" applyFill="1" applyBorder="1" applyAlignment="1" applyProtection="1">
      <alignment horizontal="center" vertical="center"/>
      <protection hidden="1"/>
    </xf>
    <xf numFmtId="4" fontId="5" fillId="11" borderId="75" xfId="0" applyNumberFormat="1" applyFont="1" applyFill="1" applyBorder="1" applyAlignment="1" applyProtection="1">
      <alignment horizontal="center" vertical="center"/>
      <protection hidden="1"/>
    </xf>
    <xf numFmtId="0" fontId="5" fillId="11" borderId="98" xfId="0" applyFont="1" applyFill="1" applyBorder="1" applyAlignment="1" applyProtection="1">
      <alignment horizontal="right" vertical="center"/>
      <protection hidden="1"/>
    </xf>
    <xf numFmtId="171" fontId="5" fillId="11" borderId="99" xfId="0" applyNumberFormat="1" applyFont="1" applyFill="1" applyBorder="1" applyAlignment="1" applyProtection="1">
      <alignment horizontal="center" vertical="center"/>
      <protection hidden="1"/>
    </xf>
    <xf numFmtId="165" fontId="5" fillId="11" borderId="99" xfId="0" applyNumberFormat="1" applyFont="1" applyFill="1" applyBorder="1" applyAlignment="1" applyProtection="1">
      <alignment horizontal="center" vertical="center"/>
      <protection hidden="1"/>
    </xf>
    <xf numFmtId="164" fontId="5" fillId="11" borderId="100" xfId="0" applyNumberFormat="1" applyFont="1" applyFill="1" applyBorder="1" applyAlignment="1" applyProtection="1">
      <alignment horizontal="center" vertical="center"/>
      <protection hidden="1"/>
    </xf>
    <xf numFmtId="177" fontId="15" fillId="2" borderId="88" xfId="0" applyNumberFormat="1" applyFont="1" applyFill="1" applyBorder="1" applyAlignment="1" applyProtection="1">
      <alignment horizontal="center" vertical="center"/>
      <protection hidden="1"/>
    </xf>
    <xf numFmtId="4" fontId="15" fillId="2" borderId="94" xfId="0" applyNumberFormat="1" applyFont="1" applyFill="1" applyBorder="1" applyAlignment="1" applyProtection="1">
      <alignment horizontal="center" vertical="center"/>
      <protection hidden="1"/>
    </xf>
    <xf numFmtId="179" fontId="1" fillId="2" borderId="94" xfId="0" applyNumberFormat="1" applyFont="1" applyFill="1" applyBorder="1" applyAlignment="1" applyProtection="1">
      <alignment horizontal="center" vertical="center"/>
      <protection hidden="1"/>
    </xf>
    <xf numFmtId="179" fontId="15" fillId="2" borderId="94" xfId="0" applyNumberFormat="1" applyFont="1" applyFill="1" applyBorder="1" applyAlignment="1" applyProtection="1">
      <alignment horizontal="center" vertical="center"/>
      <protection hidden="1"/>
    </xf>
    <xf numFmtId="0" fontId="15" fillId="2" borderId="100" xfId="0" applyFont="1" applyFill="1" applyBorder="1" applyAlignment="1" applyProtection="1">
      <alignment horizontal="center" vertical="center" wrapText="1"/>
      <protection hidden="1"/>
    </xf>
    <xf numFmtId="4" fontId="39" fillId="2" borderId="55" xfId="0" applyNumberFormat="1" applyFont="1" applyFill="1" applyBorder="1" applyAlignment="1" applyProtection="1">
      <alignment horizontal="center" vertical="center"/>
      <protection hidden="1"/>
    </xf>
    <xf numFmtId="165" fontId="39" fillId="2" borderId="55" xfId="0" applyNumberFormat="1" applyFont="1" applyFill="1" applyBorder="1" applyAlignment="1" applyProtection="1">
      <alignment horizontal="center" vertical="center"/>
      <protection hidden="1"/>
    </xf>
    <xf numFmtId="165" fontId="39" fillId="2" borderId="1" xfId="0" applyNumberFormat="1" applyFont="1" applyFill="1" applyBorder="1" applyAlignment="1" applyProtection="1">
      <alignment horizontal="center" vertical="center"/>
      <protection hidden="1"/>
    </xf>
    <xf numFmtId="2" fontId="39" fillId="2" borderId="32" xfId="0" applyNumberFormat="1" applyFont="1" applyFill="1" applyBorder="1" applyAlignment="1" applyProtection="1">
      <alignment horizontal="center" vertical="center"/>
      <protection hidden="1"/>
    </xf>
    <xf numFmtId="2" fontId="39" fillId="2" borderId="21" xfId="0" applyNumberFormat="1" applyFont="1" applyFill="1" applyBorder="1" applyAlignment="1" applyProtection="1">
      <alignment horizontal="center" vertical="center"/>
      <protection hidden="1"/>
    </xf>
    <xf numFmtId="2" fontId="39" fillId="2" borderId="22" xfId="0" applyNumberFormat="1" applyFont="1" applyFill="1" applyBorder="1" applyAlignment="1" applyProtection="1">
      <alignment horizontal="center" vertical="center"/>
      <protection hidden="1"/>
    </xf>
    <xf numFmtId="2" fontId="39" fillId="2" borderId="20" xfId="0" applyNumberFormat="1" applyFont="1" applyFill="1" applyBorder="1" applyAlignment="1" applyProtection="1">
      <alignment horizontal="center" vertical="center"/>
      <protection hidden="1"/>
    </xf>
    <xf numFmtId="0" fontId="39" fillId="0" borderId="86" xfId="0" applyFont="1" applyBorder="1" applyAlignment="1" applyProtection="1">
      <alignment horizontal="right" vertical="center" indent="1"/>
      <protection hidden="1"/>
    </xf>
    <xf numFmtId="165" fontId="39" fillId="2" borderId="87" xfId="0" applyNumberFormat="1" applyFont="1" applyFill="1" applyBorder="1" applyAlignment="1" applyProtection="1">
      <alignment horizontal="center" vertical="center"/>
      <protection hidden="1"/>
    </xf>
    <xf numFmtId="4" fontId="39" fillId="2" borderId="88" xfId="0" applyNumberFormat="1" applyFont="1" applyFill="1" applyBorder="1" applyAlignment="1" applyProtection="1">
      <alignment horizontal="center" vertical="center"/>
      <protection hidden="1"/>
    </xf>
    <xf numFmtId="165" fontId="39" fillId="2" borderId="90" xfId="0" applyNumberFormat="1" applyFont="1" applyFill="1" applyBorder="1" applyAlignment="1" applyProtection="1">
      <alignment horizontal="center" vertical="center"/>
      <protection hidden="1"/>
    </xf>
    <xf numFmtId="4" fontId="39" fillId="2" borderId="91" xfId="0" applyNumberFormat="1" applyFont="1" applyFill="1" applyBorder="1" applyAlignment="1" applyProtection="1">
      <alignment horizontal="center" vertical="center"/>
      <protection hidden="1"/>
    </xf>
    <xf numFmtId="0" fontId="39" fillId="0" borderId="167" xfId="0" applyFont="1" applyBorder="1" applyAlignment="1" applyProtection="1">
      <alignment horizontal="right" vertical="center" indent="1"/>
      <protection hidden="1"/>
    </xf>
    <xf numFmtId="3" fontId="15" fillId="2" borderId="89" xfId="0" applyNumberFormat="1" applyFont="1" applyFill="1" applyBorder="1" applyAlignment="1" applyProtection="1">
      <alignment horizontal="center" vertical="center"/>
      <protection hidden="1"/>
    </xf>
    <xf numFmtId="3" fontId="15" fillId="2" borderId="92" xfId="0" applyNumberFormat="1" applyFont="1" applyFill="1" applyBorder="1" applyAlignment="1" applyProtection="1">
      <alignment horizontal="center" vertical="center"/>
      <protection hidden="1"/>
    </xf>
    <xf numFmtId="4" fontId="39" fillId="2" borderId="93" xfId="0" applyNumberFormat="1" applyFont="1" applyFill="1" applyBorder="1" applyAlignment="1" applyProtection="1">
      <alignment horizontal="center" vertical="center"/>
      <protection hidden="1"/>
    </xf>
    <xf numFmtId="165" fontId="39" fillId="2" borderId="93" xfId="0" applyNumberFormat="1" applyFont="1" applyFill="1" applyBorder="1" applyAlignment="1" applyProtection="1">
      <alignment horizontal="center" vertical="center"/>
      <protection hidden="1"/>
    </xf>
    <xf numFmtId="4" fontId="39" fillId="2" borderId="94" xfId="0" applyNumberFormat="1" applyFont="1" applyFill="1" applyBorder="1" applyAlignment="1" applyProtection="1">
      <alignment horizontal="center" vertical="center"/>
      <protection hidden="1"/>
    </xf>
    <xf numFmtId="0" fontId="39" fillId="0" borderId="95" xfId="0" applyFont="1" applyBorder="1" applyAlignment="1" applyProtection="1">
      <alignment horizontal="right" vertical="center"/>
      <protection hidden="1"/>
    </xf>
    <xf numFmtId="168" fontId="15" fillId="12" borderId="97" xfId="0" applyNumberFormat="1" applyFont="1" applyFill="1" applyBorder="1" applyAlignment="1" applyProtection="1">
      <alignment horizontal="center" vertical="center"/>
      <protection locked="0"/>
    </xf>
    <xf numFmtId="168" fontId="15" fillId="12" borderId="184" xfId="0" applyNumberFormat="1" applyFont="1" applyFill="1" applyBorder="1" applyAlignment="1" applyProtection="1">
      <alignment horizontal="center" vertical="center"/>
      <protection locked="0"/>
    </xf>
    <xf numFmtId="0" fontId="39" fillId="2" borderId="148" xfId="0" applyFont="1" applyFill="1" applyBorder="1" applyAlignment="1" applyProtection="1">
      <alignment horizontal="right" vertical="center" indent="1"/>
      <protection hidden="1"/>
    </xf>
    <xf numFmtId="164" fontId="39" fillId="2" borderId="149" xfId="0" applyNumberFormat="1" applyFont="1" applyFill="1" applyBorder="1" applyAlignment="1" applyProtection="1">
      <alignment horizontal="center" vertical="center"/>
      <protection hidden="1"/>
    </xf>
    <xf numFmtId="2" fontId="39" fillId="2" borderId="115" xfId="0" applyNumberFormat="1" applyFont="1" applyFill="1" applyBorder="1" applyAlignment="1" applyProtection="1">
      <alignment horizontal="center" vertical="center"/>
      <protection hidden="1"/>
    </xf>
    <xf numFmtId="2" fontId="39" fillId="2" borderId="90" xfId="0" applyNumberFormat="1" applyFont="1" applyFill="1" applyBorder="1" applyAlignment="1" applyProtection="1">
      <alignment horizontal="center" vertical="center"/>
      <protection hidden="1"/>
    </xf>
    <xf numFmtId="2" fontId="39" fillId="2" borderId="178" xfId="0" applyNumberFormat="1" applyFont="1" applyFill="1" applyBorder="1" applyAlignment="1" applyProtection="1">
      <alignment horizontal="center" vertical="center"/>
      <protection hidden="1"/>
    </xf>
    <xf numFmtId="164" fontId="39" fillId="2" borderId="159" xfId="0" applyNumberFormat="1" applyFont="1" applyFill="1" applyBorder="1" applyAlignment="1" applyProtection="1">
      <alignment horizontal="center" vertical="center"/>
      <protection hidden="1"/>
    </xf>
    <xf numFmtId="0" fontId="39" fillId="2" borderId="158" xfId="0" applyFont="1" applyFill="1" applyBorder="1" applyAlignment="1" applyProtection="1">
      <alignment horizontal="right" vertical="center" indent="1"/>
      <protection hidden="1"/>
    </xf>
    <xf numFmtId="165" fontId="39" fillId="2" borderId="135" xfId="0" applyNumberFormat="1" applyFont="1" applyFill="1" applyBorder="1" applyAlignment="1" applyProtection="1">
      <alignment horizontal="center" vertical="center"/>
      <protection hidden="1"/>
    </xf>
    <xf numFmtId="4" fontId="39" fillId="2" borderId="136" xfId="0" applyNumberFormat="1" applyFont="1" applyFill="1" applyBorder="1" applyAlignment="1" applyProtection="1">
      <alignment horizontal="center" vertical="center"/>
      <protection hidden="1"/>
    </xf>
    <xf numFmtId="4" fontId="39" fillId="2" borderId="96" xfId="0" applyNumberFormat="1" applyFont="1" applyFill="1" applyBorder="1" applyAlignment="1" applyProtection="1">
      <alignment horizontal="center" vertical="center"/>
      <protection hidden="1"/>
    </xf>
    <xf numFmtId="4" fontId="15" fillId="12" borderId="137" xfId="0" applyNumberFormat="1" applyFont="1" applyFill="1" applyBorder="1" applyAlignment="1" applyProtection="1">
      <alignment horizontal="center" vertical="center"/>
      <protection locked="0"/>
    </xf>
    <xf numFmtId="4" fontId="15" fillId="12" borderId="138" xfId="0" applyNumberFormat="1" applyFont="1" applyFill="1" applyBorder="1" applyAlignment="1" applyProtection="1">
      <alignment horizontal="center" vertical="center"/>
      <protection locked="0"/>
    </xf>
    <xf numFmtId="4" fontId="15" fillId="12" borderId="139" xfId="0" applyNumberFormat="1" applyFont="1" applyFill="1" applyBorder="1" applyAlignment="1" applyProtection="1">
      <alignment horizontal="center" vertical="center"/>
      <protection locked="0"/>
    </xf>
    <xf numFmtId="3" fontId="39" fillId="2" borderId="189" xfId="0" applyNumberFormat="1" applyFont="1" applyFill="1" applyBorder="1" applyAlignment="1" applyProtection="1">
      <alignment horizontal="center" vertical="center"/>
      <protection hidden="1"/>
    </xf>
    <xf numFmtId="3" fontId="39" fillId="2" borderId="190" xfId="0" applyNumberFormat="1" applyFont="1" applyFill="1" applyBorder="1" applyAlignment="1" applyProtection="1">
      <alignment horizontal="center" vertical="center"/>
      <protection hidden="1"/>
    </xf>
    <xf numFmtId="0" fontId="2" fillId="0" borderId="167" xfId="0" applyFont="1" applyBorder="1" applyAlignment="1" applyProtection="1">
      <alignment horizontal="right" vertical="center" indent="1"/>
      <protection hidden="1"/>
    </xf>
    <xf numFmtId="0" fontId="2" fillId="0" borderId="160" xfId="0" applyFont="1" applyBorder="1" applyAlignment="1" applyProtection="1">
      <alignment horizontal="right" vertical="center" indent="1"/>
      <protection hidden="1"/>
    </xf>
    <xf numFmtId="0" fontId="2" fillId="0" borderId="168" xfId="0" applyFont="1" applyBorder="1" applyAlignment="1" applyProtection="1">
      <alignment horizontal="right" vertical="center" indent="1"/>
      <protection hidden="1"/>
    </xf>
    <xf numFmtId="3" fontId="1" fillId="2" borderId="92" xfId="0" applyNumberFormat="1" applyFont="1" applyFill="1" applyBorder="1" applyAlignment="1" applyProtection="1">
      <alignment horizontal="center" vertical="center"/>
      <protection hidden="1"/>
    </xf>
    <xf numFmtId="3" fontId="2" fillId="2" borderId="189" xfId="0" applyNumberFormat="1" applyFont="1" applyFill="1" applyBorder="1" applyAlignment="1" applyProtection="1">
      <alignment horizontal="center" vertical="center"/>
      <protection hidden="1"/>
    </xf>
    <xf numFmtId="3" fontId="2" fillId="2" borderId="190" xfId="0" applyNumberFormat="1" applyFont="1" applyFill="1" applyBorder="1" applyAlignment="1" applyProtection="1">
      <alignment horizontal="center" vertical="center"/>
      <protection hidden="1"/>
    </xf>
    <xf numFmtId="3" fontId="2" fillId="2" borderId="191" xfId="0" applyNumberFormat="1" applyFont="1" applyFill="1" applyBorder="1" applyAlignment="1" applyProtection="1">
      <alignment horizontal="center" vertical="center"/>
      <protection hidden="1"/>
    </xf>
    <xf numFmtId="3" fontId="39" fillId="2" borderId="192" xfId="0" applyNumberFormat="1" applyFont="1" applyFill="1" applyBorder="1" applyAlignment="1" applyProtection="1">
      <alignment horizontal="center" vertical="center"/>
      <protection hidden="1"/>
    </xf>
    <xf numFmtId="3" fontId="39" fillId="2" borderId="193" xfId="0" applyNumberFormat="1" applyFont="1" applyFill="1" applyBorder="1" applyAlignment="1" applyProtection="1">
      <alignment horizontal="center" vertical="center"/>
      <protection hidden="1"/>
    </xf>
    <xf numFmtId="165" fontId="2" fillId="2" borderId="96" xfId="0" applyNumberFormat="1" applyFont="1" applyFill="1" applyBorder="1" applyAlignment="1" applyProtection="1">
      <alignment horizontal="center" vertical="center"/>
      <protection hidden="1"/>
    </xf>
    <xf numFmtId="165" fontId="2" fillId="2" borderId="97" xfId="0" applyNumberFormat="1" applyFont="1" applyFill="1" applyBorder="1" applyAlignment="1" applyProtection="1">
      <alignment horizontal="center" vertical="center"/>
      <protection hidden="1"/>
    </xf>
    <xf numFmtId="0" fontId="1" fillId="0" borderId="98" xfId="0" applyFont="1" applyBorder="1" applyAlignment="1" applyProtection="1">
      <alignment horizontal="center" vertical="center" wrapText="1"/>
      <protection hidden="1"/>
    </xf>
    <xf numFmtId="0" fontId="1" fillId="0" borderId="99" xfId="0" applyFont="1" applyBorder="1" applyAlignment="1" applyProtection="1">
      <alignment horizontal="center" vertical="center" wrapText="1"/>
      <protection hidden="1"/>
    </xf>
    <xf numFmtId="0" fontId="1" fillId="0" borderId="100" xfId="0" applyFont="1" applyBorder="1" applyAlignment="1" applyProtection="1">
      <alignment horizontal="center" vertical="center" wrapText="1"/>
      <protection hidden="1"/>
    </xf>
    <xf numFmtId="0" fontId="5" fillId="11" borderId="195" xfId="0" applyFont="1" applyFill="1" applyBorder="1" applyAlignment="1" applyProtection="1">
      <alignment horizontal="right" vertical="center"/>
      <protection hidden="1"/>
    </xf>
    <xf numFmtId="171" fontId="5" fillId="11" borderId="196" xfId="0" applyNumberFormat="1" applyFont="1" applyFill="1" applyBorder="1" applyAlignment="1" applyProtection="1">
      <alignment horizontal="center" vertical="center"/>
      <protection hidden="1"/>
    </xf>
    <xf numFmtId="165" fontId="5" fillId="11" borderId="196" xfId="0" applyNumberFormat="1" applyFont="1" applyFill="1" applyBorder="1" applyAlignment="1" applyProtection="1">
      <alignment horizontal="center" vertical="center"/>
      <protection hidden="1"/>
    </xf>
    <xf numFmtId="164" fontId="5" fillId="11" borderId="197" xfId="0" applyNumberFormat="1" applyFont="1" applyFill="1" applyBorder="1" applyAlignment="1" applyProtection="1">
      <alignment horizontal="center" vertical="center"/>
      <protection hidden="1"/>
    </xf>
    <xf numFmtId="0" fontId="39" fillId="0" borderId="86" xfId="0" applyFont="1" applyBorder="1" applyAlignment="1" applyProtection="1">
      <alignment horizontal="right" vertical="center"/>
      <protection hidden="1"/>
    </xf>
    <xf numFmtId="0" fontId="39" fillId="0" borderId="87" xfId="0" applyFont="1" applyBorder="1" applyAlignment="1" applyProtection="1">
      <alignment horizontal="center" vertical="center"/>
      <protection hidden="1"/>
    </xf>
    <xf numFmtId="171" fontId="39" fillId="0" borderId="87" xfId="0" applyNumberFormat="1" applyFont="1" applyBorder="1" applyAlignment="1" applyProtection="1">
      <alignment horizontal="center" vertical="center"/>
      <protection hidden="1"/>
    </xf>
    <xf numFmtId="165" fontId="39" fillId="0" borderId="87" xfId="0" applyNumberFormat="1" applyFont="1" applyBorder="1" applyAlignment="1" applyProtection="1">
      <alignment horizontal="center" vertical="center"/>
      <protection hidden="1"/>
    </xf>
    <xf numFmtId="164" fontId="39" fillId="0" borderId="88" xfId="0" applyNumberFormat="1" applyFont="1" applyBorder="1" applyAlignment="1" applyProtection="1">
      <alignment horizontal="center" vertical="center"/>
      <protection hidden="1"/>
    </xf>
    <xf numFmtId="0" fontId="39" fillId="0" borderId="90" xfId="0" applyFont="1" applyBorder="1" applyAlignment="1" applyProtection="1">
      <alignment horizontal="center" vertical="center"/>
      <protection hidden="1"/>
    </xf>
    <xf numFmtId="171" fontId="39" fillId="0" borderId="93" xfId="0" applyNumberFormat="1" applyFont="1" applyBorder="1" applyAlignment="1" applyProtection="1">
      <alignment horizontal="center" vertical="center"/>
      <protection hidden="1"/>
    </xf>
    <xf numFmtId="165" fontId="39" fillId="0" borderId="93" xfId="0" applyNumberFormat="1" applyFont="1" applyBorder="1" applyAlignment="1" applyProtection="1">
      <alignment horizontal="center" vertical="center"/>
      <protection hidden="1"/>
    </xf>
    <xf numFmtId="4" fontId="5" fillId="11" borderId="100" xfId="0" applyNumberFormat="1" applyFont="1" applyFill="1" applyBorder="1" applyAlignment="1" applyProtection="1">
      <alignment horizontal="center" vertical="center"/>
      <protection hidden="1"/>
    </xf>
    <xf numFmtId="0" fontId="39" fillId="0" borderId="168" xfId="0" applyFont="1" applyBorder="1" applyAlignment="1" applyProtection="1">
      <alignment horizontal="right" vertical="center" indent="1"/>
      <protection hidden="1"/>
    </xf>
    <xf numFmtId="0" fontId="15" fillId="2" borderId="98" xfId="0" applyFont="1" applyFill="1" applyBorder="1" applyAlignment="1" applyProtection="1">
      <alignment horizontal="center" vertical="center"/>
      <protection hidden="1"/>
    </xf>
    <xf numFmtId="0" fontId="15" fillId="2" borderId="99" xfId="0" applyFont="1" applyFill="1" applyBorder="1" applyAlignment="1" applyProtection="1">
      <alignment horizontal="center" vertical="center"/>
      <protection hidden="1"/>
    </xf>
    <xf numFmtId="2" fontId="39" fillId="2" borderId="86" xfId="0" applyNumberFormat="1" applyFont="1" applyFill="1" applyBorder="1" applyAlignment="1" applyProtection="1">
      <alignment horizontal="right" vertical="center" indent="1"/>
      <protection hidden="1"/>
    </xf>
    <xf numFmtId="2" fontId="39" fillId="2" borderId="87" xfId="0" applyNumberFormat="1" applyFont="1" applyFill="1" applyBorder="1" applyAlignment="1" applyProtection="1">
      <alignment horizontal="center" vertical="center"/>
      <protection hidden="1"/>
    </xf>
    <xf numFmtId="171" fontId="39" fillId="2" borderId="87" xfId="0" applyNumberFormat="1" applyFont="1" applyFill="1" applyBorder="1" applyAlignment="1" applyProtection="1">
      <alignment horizontal="center" vertical="center"/>
      <protection hidden="1"/>
    </xf>
    <xf numFmtId="164" fontId="39" fillId="2" borderId="88" xfId="0" applyNumberFormat="1" applyFont="1" applyFill="1" applyBorder="1" applyAlignment="1" applyProtection="1">
      <alignment horizontal="center" vertical="center"/>
      <protection hidden="1"/>
    </xf>
    <xf numFmtId="2" fontId="39" fillId="2" borderId="93" xfId="0" applyNumberFormat="1" applyFont="1" applyFill="1" applyBorder="1" applyAlignment="1" applyProtection="1">
      <alignment horizontal="center" vertical="center"/>
      <protection hidden="1"/>
    </xf>
    <xf numFmtId="0" fontId="39" fillId="2" borderId="86" xfId="0" applyFont="1" applyFill="1" applyBorder="1" applyAlignment="1" applyProtection="1">
      <alignment horizontal="right" vertical="center" indent="1"/>
      <protection hidden="1"/>
    </xf>
    <xf numFmtId="0" fontId="39" fillId="0" borderId="96" xfId="0" applyFont="1" applyBorder="1" applyAlignment="1" applyProtection="1">
      <alignment vertical="center"/>
      <protection hidden="1"/>
    </xf>
    <xf numFmtId="171" fontId="39" fillId="0" borderId="96" xfId="0" applyNumberFormat="1" applyFont="1" applyBorder="1" applyAlignment="1" applyProtection="1">
      <alignment horizontal="center" vertical="center"/>
      <protection hidden="1"/>
    </xf>
    <xf numFmtId="165" fontId="39" fillId="0" borderId="96" xfId="0" applyNumberFormat="1" applyFont="1" applyBorder="1" applyAlignment="1" applyProtection="1">
      <alignment horizontal="center" vertical="center"/>
      <protection hidden="1"/>
    </xf>
    <xf numFmtId="164" fontId="39" fillId="0" borderId="97" xfId="0" applyNumberFormat="1" applyFont="1" applyBorder="1" applyAlignment="1" applyProtection="1">
      <alignment horizontal="center" vertical="center"/>
      <protection hidden="1"/>
    </xf>
    <xf numFmtId="165" fontId="39" fillId="2" borderId="96" xfId="0" applyNumberFormat="1" applyFont="1" applyFill="1" applyBorder="1" applyAlignment="1" applyProtection="1">
      <alignment horizontal="center" vertical="center"/>
      <protection hidden="1"/>
    </xf>
    <xf numFmtId="165" fontId="39" fillId="2" borderId="97" xfId="0" applyNumberFormat="1" applyFont="1" applyFill="1" applyBorder="1" applyAlignment="1" applyProtection="1">
      <alignment horizontal="center" vertical="center"/>
      <protection hidden="1"/>
    </xf>
    <xf numFmtId="0" fontId="15" fillId="0" borderId="98" xfId="0" applyFont="1" applyBorder="1" applyAlignment="1" applyProtection="1">
      <alignment horizontal="center" vertical="center" wrapText="1"/>
      <protection hidden="1"/>
    </xf>
    <xf numFmtId="0" fontId="15" fillId="0" borderId="99" xfId="0" applyFont="1" applyBorder="1" applyAlignment="1" applyProtection="1">
      <alignment horizontal="center" vertical="center" wrapText="1"/>
      <protection hidden="1"/>
    </xf>
    <xf numFmtId="0" fontId="15" fillId="0" borderId="100" xfId="0" applyFont="1" applyBorder="1" applyAlignment="1" applyProtection="1">
      <alignment horizontal="center" vertical="center" wrapText="1"/>
      <protection hidden="1"/>
    </xf>
    <xf numFmtId="4" fontId="39" fillId="2" borderId="200" xfId="0" applyNumberFormat="1" applyFont="1" applyFill="1" applyBorder="1" applyAlignment="1" applyProtection="1">
      <alignment horizontal="center" vertical="center"/>
      <protection hidden="1"/>
    </xf>
    <xf numFmtId="0" fontId="39" fillId="2" borderId="167" xfId="0" applyFont="1" applyFill="1" applyBorder="1" applyAlignment="1" applyProtection="1">
      <alignment horizontal="right" vertical="center" indent="1"/>
      <protection hidden="1"/>
    </xf>
    <xf numFmtId="0" fontId="39" fillId="2" borderId="160" xfId="0" applyFont="1" applyFill="1" applyBorder="1" applyAlignment="1" applyProtection="1">
      <alignment horizontal="right" vertical="center" indent="1"/>
      <protection hidden="1"/>
    </xf>
    <xf numFmtId="0" fontId="39" fillId="2" borderId="168" xfId="0" applyFont="1" applyFill="1" applyBorder="1" applyAlignment="1" applyProtection="1">
      <alignment horizontal="right" vertical="center" indent="1"/>
      <protection hidden="1"/>
    </xf>
    <xf numFmtId="0" fontId="39" fillId="2" borderId="99" xfId="0" applyFont="1" applyFill="1" applyBorder="1" applyAlignment="1" applyProtection="1">
      <alignment horizontal="center" vertical="center"/>
      <protection hidden="1"/>
    </xf>
    <xf numFmtId="0" fontId="39" fillId="2" borderId="86" xfId="0" applyFont="1" applyFill="1" applyBorder="1" applyAlignment="1" applyProtection="1">
      <alignment horizontal="right" vertical="center"/>
      <protection hidden="1"/>
    </xf>
    <xf numFmtId="171" fontId="15" fillId="2" borderId="87" xfId="0" applyNumberFormat="1" applyFont="1" applyFill="1" applyBorder="1" applyAlignment="1" applyProtection="1">
      <alignment horizontal="center" vertical="center"/>
      <protection hidden="1"/>
    </xf>
    <xf numFmtId="0" fontId="39" fillId="2" borderId="92" xfId="0" applyFont="1" applyFill="1" applyBorder="1" applyAlignment="1" applyProtection="1">
      <alignment horizontal="right" vertical="center"/>
      <protection hidden="1"/>
    </xf>
    <xf numFmtId="2" fontId="39" fillId="2" borderId="95" xfId="0" applyNumberFormat="1" applyFont="1" applyFill="1" applyBorder="1" applyAlignment="1" applyProtection="1">
      <alignment horizontal="right" vertical="center" indent="1"/>
      <protection hidden="1"/>
    </xf>
    <xf numFmtId="2" fontId="39" fillId="2" borderId="96" xfId="0" applyNumberFormat="1" applyFont="1" applyFill="1" applyBorder="1" applyAlignment="1" applyProtection="1">
      <alignment horizontal="center" vertical="center"/>
      <protection hidden="1"/>
    </xf>
    <xf numFmtId="171" fontId="39" fillId="2" borderId="96" xfId="0" applyNumberFormat="1" applyFont="1" applyFill="1" applyBorder="1" applyAlignment="1" applyProtection="1">
      <alignment horizontal="center" vertical="center"/>
      <protection hidden="1"/>
    </xf>
    <xf numFmtId="164" fontId="39" fillId="2" borderId="97" xfId="0" applyNumberFormat="1" applyFont="1" applyFill="1" applyBorder="1" applyAlignment="1" applyProtection="1">
      <alignment horizontal="center" vertical="center"/>
      <protection hidden="1"/>
    </xf>
    <xf numFmtId="2" fontId="39" fillId="2" borderId="126" xfId="0" applyNumberFormat="1" applyFont="1" applyFill="1" applyBorder="1" applyAlignment="1" applyProtection="1">
      <alignment horizontal="center" vertical="center"/>
      <protection hidden="1"/>
    </xf>
    <xf numFmtId="0" fontId="15" fillId="2" borderId="113" xfId="0" applyFont="1" applyFill="1" applyBorder="1" applyAlignment="1" applyProtection="1">
      <alignment horizontal="center" vertical="center" wrapText="1"/>
      <protection hidden="1"/>
    </xf>
    <xf numFmtId="0" fontId="39" fillId="2" borderId="112" xfId="0" applyFont="1" applyFill="1" applyBorder="1" applyAlignment="1" applyProtection="1">
      <alignment horizontal="right" vertical="center" indent="1"/>
      <protection hidden="1"/>
    </xf>
    <xf numFmtId="0" fontId="39" fillId="2" borderId="118" xfId="0" applyFont="1" applyFill="1" applyBorder="1" applyAlignment="1" applyProtection="1">
      <alignment horizontal="right" vertical="center" wrapText="1" indent="1"/>
      <protection hidden="1"/>
    </xf>
    <xf numFmtId="0" fontId="39" fillId="2" borderId="156" xfId="0" applyFont="1" applyFill="1" applyBorder="1" applyAlignment="1" applyProtection="1">
      <alignment horizontal="right" vertical="center" wrapText="1" indent="1"/>
      <protection hidden="1"/>
    </xf>
    <xf numFmtId="0" fontId="39" fillId="2" borderId="198" xfId="0" applyFont="1" applyFill="1" applyBorder="1" applyAlignment="1" applyProtection="1">
      <alignment horizontal="right" vertical="center" indent="1"/>
      <protection hidden="1"/>
    </xf>
    <xf numFmtId="0" fontId="15" fillId="2" borderId="89" xfId="0" applyFont="1" applyFill="1" applyBorder="1" applyAlignment="1" applyProtection="1">
      <alignment horizontal="right" vertical="center" indent="1"/>
      <protection hidden="1"/>
    </xf>
    <xf numFmtId="0" fontId="40" fillId="2" borderId="92" xfId="0" applyFont="1" applyFill="1" applyBorder="1" applyAlignment="1" applyProtection="1">
      <alignment horizontal="right" vertical="center" indent="1"/>
      <protection hidden="1"/>
    </xf>
    <xf numFmtId="0" fontId="6" fillId="11" borderId="142" xfId="0" applyFont="1" applyFill="1" applyBorder="1" applyAlignment="1" applyProtection="1">
      <alignment horizontal="center" vertical="center"/>
      <protection hidden="1"/>
    </xf>
    <xf numFmtId="0" fontId="6" fillId="11" borderId="143" xfId="0" applyFont="1" applyFill="1" applyBorder="1" applyAlignment="1" applyProtection="1">
      <alignment horizontal="center" vertical="center"/>
      <protection hidden="1"/>
    </xf>
    <xf numFmtId="168" fontId="15" fillId="12" borderId="137" xfId="0" applyNumberFormat="1" applyFont="1" applyFill="1" applyBorder="1" applyAlignment="1" applyProtection="1">
      <alignment horizontal="center" vertical="center"/>
      <protection locked="0"/>
    </xf>
    <xf numFmtId="0" fontId="15" fillId="12" borderId="139" xfId="0" applyFont="1" applyFill="1" applyBorder="1" applyAlignment="1" applyProtection="1">
      <alignment horizontal="center" vertical="center"/>
      <protection locked="0"/>
    </xf>
    <xf numFmtId="2" fontId="39" fillId="2" borderId="160" xfId="0" applyNumberFormat="1" applyFont="1" applyFill="1" applyBorder="1" applyAlignment="1" applyProtection="1">
      <alignment horizontal="right" vertical="center" indent="1"/>
      <protection hidden="1"/>
    </xf>
    <xf numFmtId="164" fontId="39" fillId="0" borderId="94" xfId="0" applyNumberFormat="1" applyFont="1" applyBorder="1" applyAlignment="1" applyProtection="1">
      <alignment horizontal="center" vertical="center"/>
      <protection hidden="1"/>
    </xf>
    <xf numFmtId="3" fontId="15" fillId="2" borderId="2" xfId="0" applyNumberFormat="1" applyFont="1" applyFill="1" applyBorder="1" applyAlignment="1" applyProtection="1">
      <alignment horizontal="center" vertical="center"/>
      <protection hidden="1"/>
    </xf>
    <xf numFmtId="0" fontId="15" fillId="0" borderId="131" xfId="0" applyFont="1" applyBorder="1" applyAlignment="1" applyProtection="1">
      <alignment horizontal="center" vertical="center" wrapText="1"/>
      <protection hidden="1"/>
    </xf>
    <xf numFmtId="0" fontId="15" fillId="0" borderId="132" xfId="0" applyFont="1" applyBorder="1" applyAlignment="1" applyProtection="1">
      <alignment horizontal="center" vertical="center" wrapText="1"/>
      <protection hidden="1"/>
    </xf>
    <xf numFmtId="0" fontId="15" fillId="0" borderId="133" xfId="0" applyFont="1" applyBorder="1" applyAlignment="1" applyProtection="1">
      <alignment horizontal="center" vertical="center" wrapText="1"/>
      <protection hidden="1"/>
    </xf>
    <xf numFmtId="0" fontId="39" fillId="0" borderId="118" xfId="0" applyFont="1" applyBorder="1" applyAlignment="1" applyProtection="1">
      <alignment horizontal="right" vertical="center"/>
      <protection hidden="1"/>
    </xf>
    <xf numFmtId="0" fontId="39" fillId="0" borderId="171" xfId="0" applyFont="1" applyBorder="1" applyAlignment="1" applyProtection="1">
      <alignment horizontal="center" vertical="center"/>
      <protection hidden="1"/>
    </xf>
    <xf numFmtId="171" fontId="15" fillId="0" borderId="87" xfId="0" applyNumberFormat="1" applyFont="1" applyBorder="1" applyAlignment="1" applyProtection="1">
      <alignment horizontal="center" vertical="center"/>
      <protection hidden="1"/>
    </xf>
    <xf numFmtId="0" fontId="5" fillId="11" borderId="185" xfId="0" applyFont="1" applyFill="1" applyBorder="1" applyAlignment="1" applyProtection="1">
      <alignment horizontal="right" vertical="center" indent="1"/>
      <protection hidden="1"/>
    </xf>
    <xf numFmtId="0" fontId="40" fillId="0" borderId="47" xfId="0" applyFont="1" applyBorder="1" applyAlignment="1" applyProtection="1">
      <alignment horizontal="right" vertical="center" indent="1"/>
      <protection hidden="1"/>
    </xf>
    <xf numFmtId="175" fontId="40" fillId="2" borderId="17" xfId="1" applyNumberFormat="1" applyFont="1" applyFill="1" applyBorder="1" applyAlignment="1" applyProtection="1">
      <alignment horizontal="center" vertical="center"/>
      <protection hidden="1"/>
    </xf>
    <xf numFmtId="22" fontId="41" fillId="0" borderId="103" xfId="0" applyNumberFormat="1" applyFont="1" applyBorder="1" applyAlignment="1" applyProtection="1">
      <alignment horizontal="center" vertical="center"/>
      <protection hidden="1"/>
    </xf>
    <xf numFmtId="22" fontId="41" fillId="0" borderId="104" xfId="0" applyNumberFormat="1" applyFont="1" applyBorder="1" applyAlignment="1" applyProtection="1">
      <alignment horizontal="center" vertical="center"/>
      <protection hidden="1"/>
    </xf>
    <xf numFmtId="0" fontId="39" fillId="0" borderId="103" xfId="0" applyFont="1" applyBorder="1" applyAlignment="1" applyProtection="1">
      <alignment vertical="center"/>
      <protection hidden="1"/>
    </xf>
    <xf numFmtId="0" fontId="39" fillId="0" borderId="104" xfId="0" applyFont="1" applyBorder="1" applyAlignment="1" applyProtection="1">
      <alignment horizontal="center" vertical="center"/>
      <protection hidden="1"/>
    </xf>
    <xf numFmtId="0" fontId="39" fillId="0" borderId="105" xfId="0" applyFont="1" applyBorder="1" applyAlignment="1" applyProtection="1">
      <alignment vertical="center"/>
      <protection hidden="1"/>
    </xf>
    <xf numFmtId="0" fontId="39" fillId="0" borderId="106" xfId="0" applyFont="1" applyBorder="1" applyAlignment="1" applyProtection="1">
      <alignment horizontal="center" vertical="center"/>
      <protection hidden="1"/>
    </xf>
    <xf numFmtId="4" fontId="39" fillId="2" borderId="204" xfId="0" applyNumberFormat="1" applyFont="1" applyFill="1" applyBorder="1" applyAlignment="1" applyProtection="1">
      <alignment horizontal="center" vertical="center"/>
      <protection hidden="1"/>
    </xf>
    <xf numFmtId="168" fontId="15" fillId="12" borderId="174" xfId="0" applyNumberFormat="1" applyFont="1" applyFill="1" applyBorder="1" applyAlignment="1" applyProtection="1">
      <alignment horizontal="center" vertical="center"/>
      <protection locked="0"/>
    </xf>
    <xf numFmtId="0" fontId="15" fillId="12" borderId="124" xfId="0" applyFont="1" applyFill="1" applyBorder="1" applyAlignment="1" applyProtection="1">
      <alignment horizontal="center" vertical="center"/>
      <protection locked="0"/>
    </xf>
    <xf numFmtId="0" fontId="39" fillId="0" borderId="25" xfId="0" applyFont="1" applyBorder="1" applyAlignment="1" applyProtection="1">
      <alignment horizontal="right" vertical="center" indent="1"/>
      <protection hidden="1"/>
    </xf>
    <xf numFmtId="0" fontId="1" fillId="2" borderId="0" xfId="0" applyFont="1" applyFill="1" applyAlignment="1" applyProtection="1">
      <alignment vertical="center"/>
      <protection hidden="1"/>
    </xf>
    <xf numFmtId="0" fontId="39" fillId="2" borderId="150" xfId="0" applyFont="1" applyFill="1" applyBorder="1" applyAlignment="1" applyProtection="1">
      <alignment horizontal="right" vertical="center" indent="1"/>
      <protection hidden="1"/>
    </xf>
    <xf numFmtId="167" fontId="15" fillId="2" borderId="151" xfId="0" applyNumberFormat="1" applyFont="1" applyFill="1" applyBorder="1" applyAlignment="1" applyProtection="1">
      <alignment horizontal="center" vertical="center"/>
      <protection hidden="1"/>
    </xf>
    <xf numFmtId="0" fontId="15" fillId="2" borderId="112" xfId="0" applyFont="1" applyFill="1" applyBorder="1" applyAlignment="1" applyProtection="1">
      <alignment horizontal="right" vertical="center" indent="1"/>
      <protection hidden="1"/>
    </xf>
    <xf numFmtId="175" fontId="40" fillId="2" borderId="159" xfId="1" applyNumberFormat="1" applyFont="1" applyFill="1" applyBorder="1" applyAlignment="1" applyProtection="1">
      <alignment horizontal="center" vertical="center"/>
      <protection hidden="1"/>
    </xf>
    <xf numFmtId="0" fontId="39" fillId="2" borderId="112" xfId="0" applyFont="1" applyFill="1" applyBorder="1" applyAlignment="1" applyProtection="1">
      <alignment horizontal="right" vertical="center"/>
      <protection hidden="1"/>
    </xf>
    <xf numFmtId="3" fontId="5" fillId="11" borderId="128" xfId="0" applyNumberFormat="1" applyFont="1" applyFill="1" applyBorder="1" applyAlignment="1" applyProtection="1">
      <alignment horizontal="center" vertical="center"/>
      <protection hidden="1"/>
    </xf>
    <xf numFmtId="4" fontId="5" fillId="11" borderId="129" xfId="0" applyNumberFormat="1" applyFont="1" applyFill="1" applyBorder="1" applyAlignment="1" applyProtection="1">
      <alignment horizontal="center" vertical="center"/>
      <protection hidden="1"/>
    </xf>
    <xf numFmtId="165" fontId="5" fillId="11" borderId="129" xfId="0" applyNumberFormat="1" applyFont="1" applyFill="1" applyBorder="1" applyAlignment="1" applyProtection="1">
      <alignment horizontal="center" vertical="center"/>
      <protection hidden="1"/>
    </xf>
    <xf numFmtId="4" fontId="5" fillId="11" borderId="130" xfId="0" applyNumberFormat="1" applyFont="1" applyFill="1" applyBorder="1" applyAlignment="1" applyProtection="1">
      <alignment horizontal="center" vertical="center"/>
      <protection hidden="1"/>
    </xf>
    <xf numFmtId="4" fontId="39" fillId="2" borderId="161" xfId="0" applyNumberFormat="1" applyFont="1" applyFill="1" applyBorder="1" applyAlignment="1" applyProtection="1">
      <alignment horizontal="center" vertical="center"/>
      <protection hidden="1"/>
    </xf>
    <xf numFmtId="4" fontId="39" fillId="2" borderId="157" xfId="0" applyNumberFormat="1" applyFont="1" applyFill="1" applyBorder="1" applyAlignment="1" applyProtection="1">
      <alignment horizontal="center" vertical="center"/>
      <protection hidden="1"/>
    </xf>
    <xf numFmtId="0" fontId="39" fillId="0" borderId="205" xfId="0" applyFont="1" applyBorder="1" applyAlignment="1" applyProtection="1">
      <alignment horizontal="right" vertical="center" indent="1"/>
      <protection hidden="1"/>
    </xf>
    <xf numFmtId="0" fontId="39" fillId="0" borderId="138" xfId="0" applyFont="1" applyBorder="1" applyAlignment="1" applyProtection="1">
      <alignment horizontal="right" vertical="center" indent="1"/>
      <protection hidden="1"/>
    </xf>
    <xf numFmtId="0" fontId="39" fillId="0" borderId="139" xfId="0" applyFont="1" applyBorder="1" applyAlignment="1" applyProtection="1">
      <alignment horizontal="right" vertical="center" indent="1"/>
      <protection hidden="1"/>
    </xf>
    <xf numFmtId="3" fontId="39" fillId="2" borderId="206" xfId="0" applyNumberFormat="1" applyFont="1" applyFill="1" applyBorder="1" applyAlignment="1" applyProtection="1">
      <alignment horizontal="center" vertical="center"/>
      <protection hidden="1"/>
    </xf>
    <xf numFmtId="165" fontId="15" fillId="2" borderId="94" xfId="0" applyNumberFormat="1" applyFont="1" applyFill="1" applyBorder="1" applyAlignment="1" applyProtection="1">
      <alignment horizontal="center" vertical="center"/>
      <protection hidden="1"/>
    </xf>
    <xf numFmtId="0" fontId="39" fillId="2" borderId="112" xfId="0" applyFont="1" applyFill="1" applyBorder="1" applyAlignment="1" applyProtection="1">
      <alignment horizontal="right" vertical="center" wrapText="1" indent="1"/>
      <protection hidden="1"/>
    </xf>
    <xf numFmtId="2" fontId="39" fillId="2" borderId="20" xfId="0" applyNumberFormat="1" applyFont="1" applyFill="1" applyBorder="1" applyAlignment="1" applyProtection="1">
      <alignment horizontal="center" vertical="center" wrapText="1"/>
      <protection hidden="1"/>
    </xf>
    <xf numFmtId="171" fontId="39" fillId="2" borderId="20" xfId="0" applyNumberFormat="1" applyFont="1" applyFill="1" applyBorder="1" applyAlignment="1" applyProtection="1">
      <alignment horizontal="center" vertical="center" wrapText="1"/>
      <protection hidden="1"/>
    </xf>
    <xf numFmtId="164" fontId="39" fillId="2" borderId="153" xfId="0" applyNumberFormat="1" applyFont="1" applyFill="1" applyBorder="1" applyAlignment="1" applyProtection="1">
      <alignment horizontal="center" vertical="center" wrapText="1"/>
      <protection hidden="1"/>
    </xf>
    <xf numFmtId="0" fontId="39" fillId="2" borderId="150" xfId="0" applyFont="1" applyFill="1" applyBorder="1" applyAlignment="1" applyProtection="1">
      <alignment horizontal="right" vertical="center" wrapText="1" indent="1"/>
      <protection hidden="1"/>
    </xf>
    <xf numFmtId="164" fontId="39" fillId="2" borderId="151" xfId="0" applyNumberFormat="1" applyFont="1" applyFill="1" applyBorder="1" applyAlignment="1" applyProtection="1">
      <alignment horizontal="center" vertical="center"/>
      <protection hidden="1"/>
    </xf>
    <xf numFmtId="0" fontId="15" fillId="2" borderId="100" xfId="0" applyFont="1" applyFill="1" applyBorder="1" applyAlignment="1" applyProtection="1">
      <alignment horizontal="center" vertical="center"/>
      <protection hidden="1"/>
    </xf>
    <xf numFmtId="0" fontId="39" fillId="0" borderId="198" xfId="0" applyFont="1" applyBorder="1" applyAlignment="1" applyProtection="1">
      <alignment horizontal="right" vertical="center" indent="1"/>
      <protection hidden="1"/>
    </xf>
    <xf numFmtId="0" fontId="40" fillId="0" borderId="158" xfId="0" applyFont="1" applyBorder="1" applyAlignment="1" applyProtection="1">
      <alignment horizontal="right" vertical="center" indent="1"/>
      <protection hidden="1"/>
    </xf>
    <xf numFmtId="0" fontId="5" fillId="11" borderId="207" xfId="0" applyFont="1" applyFill="1" applyBorder="1" applyAlignment="1" applyProtection="1">
      <alignment horizontal="right" vertical="center" indent="1"/>
      <protection hidden="1"/>
    </xf>
    <xf numFmtId="0" fontId="39" fillId="0" borderId="96" xfId="0" applyFont="1" applyBorder="1" applyAlignment="1" applyProtection="1">
      <alignment horizontal="center" vertical="center"/>
      <protection hidden="1"/>
    </xf>
    <xf numFmtId="22" fontId="41" fillId="0" borderId="81" xfId="0" applyNumberFormat="1" applyFont="1" applyBorder="1" applyAlignment="1" applyProtection="1">
      <alignment horizontal="center" vertical="center"/>
      <protection hidden="1"/>
    </xf>
    <xf numFmtId="22" fontId="41" fillId="0" borderId="82" xfId="0" applyNumberFormat="1" applyFont="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9" fillId="0" borderId="82" xfId="0" applyFont="1" applyBorder="1" applyAlignment="1" applyProtection="1">
      <alignment horizontal="center" vertical="center"/>
      <protection hidden="1"/>
    </xf>
    <xf numFmtId="0" fontId="39" fillId="0" borderId="83" xfId="0" applyFont="1" applyBorder="1" applyAlignment="1" applyProtection="1">
      <alignment vertical="center"/>
      <protection hidden="1"/>
    </xf>
    <xf numFmtId="0" fontId="39" fillId="0" borderId="84" xfId="0" applyFont="1" applyBorder="1" applyAlignment="1" applyProtection="1">
      <alignment horizontal="center" vertical="center"/>
      <protection hidden="1"/>
    </xf>
    <xf numFmtId="4" fontId="39" fillId="2" borderId="135" xfId="0" applyNumberFormat="1" applyFont="1" applyFill="1" applyBorder="1" applyAlignment="1" applyProtection="1">
      <alignment horizontal="center" vertical="center"/>
      <protection hidden="1"/>
    </xf>
    <xf numFmtId="3" fontId="39" fillId="2" borderId="208" xfId="0" applyNumberFormat="1" applyFont="1" applyFill="1" applyBorder="1" applyAlignment="1" applyProtection="1">
      <alignment horizontal="center" vertical="center"/>
      <protection hidden="1"/>
    </xf>
    <xf numFmtId="174" fontId="39" fillId="2" borderId="204" xfId="0" applyNumberFormat="1" applyFont="1" applyFill="1" applyBorder="1" applyAlignment="1" applyProtection="1">
      <alignment horizontal="center" vertical="center"/>
      <protection hidden="1"/>
    </xf>
    <xf numFmtId="3" fontId="15" fillId="12" borderId="137" xfId="0" applyNumberFormat="1" applyFont="1" applyFill="1" applyBorder="1" applyAlignment="1" applyProtection="1">
      <alignment horizontal="center" vertical="center"/>
      <protection locked="0"/>
    </xf>
    <xf numFmtId="3" fontId="15" fillId="12" borderId="138" xfId="0" applyNumberFormat="1" applyFont="1" applyFill="1" applyBorder="1" applyAlignment="1" applyProtection="1">
      <alignment horizontal="center" vertical="center"/>
      <protection locked="0"/>
    </xf>
    <xf numFmtId="3" fontId="15" fillId="12" borderId="139" xfId="0" applyNumberFormat="1" applyFont="1" applyFill="1" applyBorder="1" applyAlignment="1" applyProtection="1">
      <alignment horizontal="center" vertical="center"/>
      <protection locked="0"/>
    </xf>
    <xf numFmtId="2" fontId="39" fillId="2" borderId="145" xfId="0" applyNumberFormat="1" applyFont="1" applyFill="1" applyBorder="1" applyAlignment="1" applyProtection="1">
      <alignment horizontal="right" vertical="center" indent="1"/>
      <protection hidden="1"/>
    </xf>
    <xf numFmtId="4" fontId="39" fillId="2" borderId="210" xfId="0" applyNumberFormat="1" applyFont="1" applyFill="1" applyBorder="1" applyAlignment="1" applyProtection="1">
      <alignment horizontal="center" vertical="center"/>
      <protection hidden="1"/>
    </xf>
    <xf numFmtId="4" fontId="39" fillId="2" borderId="213" xfId="0" applyNumberFormat="1" applyFont="1" applyFill="1" applyBorder="1" applyAlignment="1" applyProtection="1">
      <alignment horizontal="center" vertical="center"/>
      <protection hidden="1"/>
    </xf>
    <xf numFmtId="0" fontId="15" fillId="2" borderId="214" xfId="0" applyFont="1" applyFill="1" applyBorder="1" applyAlignment="1" applyProtection="1">
      <alignment horizontal="center" vertical="center" wrapText="1"/>
      <protection hidden="1"/>
    </xf>
    <xf numFmtId="0" fontId="15" fillId="2" borderId="215" xfId="0" applyFont="1" applyFill="1" applyBorder="1" applyAlignment="1" applyProtection="1">
      <alignment horizontal="center" vertical="center" wrapText="1"/>
      <protection hidden="1"/>
    </xf>
    <xf numFmtId="0" fontId="15" fillId="2" borderId="216" xfId="0" applyFont="1" applyFill="1" applyBorder="1" applyAlignment="1" applyProtection="1">
      <alignment horizontal="center" vertical="center" wrapText="1"/>
      <protection hidden="1"/>
    </xf>
    <xf numFmtId="4" fontId="39" fillId="2" borderId="201" xfId="0" applyNumberFormat="1" applyFont="1" applyFill="1" applyBorder="1" applyAlignment="1" applyProtection="1">
      <alignment horizontal="center" vertical="center"/>
      <protection hidden="1"/>
    </xf>
    <xf numFmtId="165" fontId="39" fillId="2" borderId="201" xfId="0" applyNumberFormat="1" applyFont="1" applyFill="1" applyBorder="1" applyAlignment="1" applyProtection="1">
      <alignment horizontal="center" vertical="center"/>
      <protection hidden="1"/>
    </xf>
    <xf numFmtId="4" fontId="39" fillId="2" borderId="217" xfId="0" applyNumberFormat="1" applyFont="1" applyFill="1" applyBorder="1" applyAlignment="1" applyProtection="1">
      <alignment horizontal="center" vertical="center"/>
      <protection hidden="1"/>
    </xf>
    <xf numFmtId="3" fontId="15" fillId="2" borderId="218" xfId="0" applyNumberFormat="1" applyFont="1" applyFill="1" applyBorder="1" applyAlignment="1" applyProtection="1">
      <alignment horizontal="center" vertical="center"/>
      <protection hidden="1"/>
    </xf>
    <xf numFmtId="3" fontId="5" fillId="11" borderId="219" xfId="0" applyNumberFormat="1" applyFont="1" applyFill="1" applyBorder="1" applyAlignment="1" applyProtection="1">
      <alignment horizontal="center" vertical="center"/>
      <protection hidden="1"/>
    </xf>
    <xf numFmtId="0" fontId="7" fillId="0" borderId="137" xfId="0" applyFont="1" applyBorder="1" applyAlignment="1" applyProtection="1">
      <alignment horizontal="right" vertical="center" indent="1"/>
      <protection hidden="1"/>
    </xf>
    <xf numFmtId="0" fontId="7" fillId="0" borderId="138" xfId="0" applyFont="1" applyBorder="1" applyAlignment="1" applyProtection="1">
      <alignment horizontal="right" vertical="center" indent="1"/>
      <protection hidden="1"/>
    </xf>
    <xf numFmtId="0" fontId="7" fillId="0" borderId="166" xfId="0" applyFont="1" applyBorder="1" applyAlignment="1" applyProtection="1">
      <alignment horizontal="right" vertical="center" indent="1"/>
      <protection hidden="1"/>
    </xf>
    <xf numFmtId="0" fontId="5" fillId="11" borderId="85" xfId="0" applyFont="1" applyFill="1" applyBorder="1" applyAlignment="1" applyProtection="1">
      <alignment horizontal="right" vertical="center" indent="1"/>
      <protection hidden="1"/>
    </xf>
    <xf numFmtId="10" fontId="15" fillId="2" borderId="94" xfId="1" applyNumberFormat="1" applyFont="1" applyFill="1" applyBorder="1" applyAlignment="1" applyProtection="1">
      <alignment horizontal="center" vertical="center"/>
      <protection hidden="1"/>
    </xf>
    <xf numFmtId="9" fontId="39" fillId="2" borderId="46" xfId="1" applyFont="1" applyFill="1" applyBorder="1" applyAlignment="1" applyProtection="1">
      <alignment horizontal="center" vertical="center"/>
      <protection hidden="1"/>
    </xf>
    <xf numFmtId="171" fontId="39" fillId="2" borderId="46" xfId="0" applyNumberFormat="1" applyFont="1" applyFill="1" applyBorder="1" applyAlignment="1" applyProtection="1">
      <alignment horizontal="center" vertical="center"/>
      <protection hidden="1"/>
    </xf>
    <xf numFmtId="9" fontId="39" fillId="2" borderId="20" xfId="1" applyFont="1" applyFill="1" applyBorder="1" applyAlignment="1" applyProtection="1">
      <alignment horizontal="center" vertical="center"/>
      <protection hidden="1"/>
    </xf>
    <xf numFmtId="9" fontId="39" fillId="2" borderId="21" xfId="1" applyFont="1" applyFill="1" applyBorder="1" applyAlignment="1" applyProtection="1">
      <alignment horizontal="center" vertical="center"/>
      <protection hidden="1"/>
    </xf>
    <xf numFmtId="10" fontId="39" fillId="2" borderId="32" xfId="1" applyNumberFormat="1" applyFont="1" applyFill="1" applyBorder="1" applyAlignment="1" applyProtection="1">
      <alignment horizontal="center" vertical="center"/>
      <protection hidden="1"/>
    </xf>
    <xf numFmtId="0" fontId="15" fillId="2" borderId="220" xfId="0" applyFont="1" applyFill="1" applyBorder="1" applyAlignment="1" applyProtection="1">
      <alignment horizontal="center" vertical="center"/>
      <protection hidden="1"/>
    </xf>
    <xf numFmtId="0" fontId="15" fillId="2" borderId="221" xfId="0" applyFont="1" applyFill="1" applyBorder="1" applyAlignment="1" applyProtection="1">
      <alignment horizontal="center" vertical="center"/>
      <protection hidden="1"/>
    </xf>
    <xf numFmtId="0" fontId="15" fillId="2" borderId="222" xfId="0" applyFont="1" applyFill="1" applyBorder="1" applyAlignment="1" applyProtection="1">
      <alignment horizontal="center" vertical="center" wrapText="1"/>
      <protection hidden="1"/>
    </xf>
    <xf numFmtId="2" fontId="39" fillId="2" borderId="223" xfId="0" applyNumberFormat="1" applyFont="1" applyFill="1" applyBorder="1" applyAlignment="1" applyProtection="1">
      <alignment horizontal="right" vertical="center" indent="1"/>
      <protection hidden="1"/>
    </xf>
    <xf numFmtId="164" fontId="39" fillId="2" borderId="224" xfId="0" applyNumberFormat="1" applyFont="1" applyFill="1" applyBorder="1" applyAlignment="1" applyProtection="1">
      <alignment horizontal="center" vertical="center"/>
      <protection hidden="1"/>
    </xf>
    <xf numFmtId="2" fontId="39" fillId="2" borderId="150" xfId="0" applyNumberFormat="1" applyFont="1" applyFill="1" applyBorder="1" applyAlignment="1" applyProtection="1">
      <alignment horizontal="right" vertical="center" indent="1"/>
      <protection hidden="1"/>
    </xf>
    <xf numFmtId="10" fontId="39" fillId="2" borderId="115" xfId="1" applyNumberFormat="1" applyFont="1" applyFill="1" applyBorder="1" applyAlignment="1" applyProtection="1">
      <alignment horizontal="center" vertical="center"/>
      <protection hidden="1"/>
    </xf>
    <xf numFmtId="165" fontId="5" fillId="11" borderId="136" xfId="0" applyNumberFormat="1" applyFont="1" applyFill="1" applyBorder="1" applyAlignment="1" applyProtection="1">
      <alignment horizontal="center" vertical="center"/>
      <protection hidden="1"/>
    </xf>
    <xf numFmtId="10" fontId="5" fillId="11" borderId="139" xfId="1" applyNumberFormat="1" applyFont="1" applyFill="1" applyBorder="1" applyAlignment="1" applyProtection="1">
      <alignment horizontal="center" vertical="center"/>
      <protection hidden="1"/>
    </xf>
    <xf numFmtId="0" fontId="40" fillId="2" borderId="186" xfId="0" applyFont="1" applyFill="1" applyBorder="1" applyAlignment="1" applyProtection="1">
      <alignment horizontal="right" vertical="center" indent="1"/>
      <protection hidden="1"/>
    </xf>
    <xf numFmtId="175" fontId="40" fillId="2" borderId="187" xfId="1" applyNumberFormat="1" applyFont="1" applyFill="1" applyBorder="1" applyAlignment="1" applyProtection="1">
      <alignment horizontal="center" vertical="center"/>
      <protection hidden="1"/>
    </xf>
    <xf numFmtId="3" fontId="39" fillId="2" borderId="226" xfId="0" applyNumberFormat="1" applyFont="1" applyFill="1" applyBorder="1" applyAlignment="1" applyProtection="1">
      <alignment horizontal="center" vertical="center"/>
      <protection hidden="1"/>
    </xf>
    <xf numFmtId="0" fontId="6" fillId="11" borderId="171" xfId="0" applyFont="1" applyFill="1" applyBorder="1" applyAlignment="1" applyProtection="1">
      <alignment horizontal="center" vertical="center"/>
      <protection hidden="1"/>
    </xf>
    <xf numFmtId="0" fontId="6" fillId="11" borderId="171" xfId="0" applyFont="1" applyFill="1" applyBorder="1" applyAlignment="1" applyProtection="1">
      <alignment horizontal="center" vertical="center" wrapText="1"/>
      <protection hidden="1"/>
    </xf>
    <xf numFmtId="0" fontId="6" fillId="11" borderId="172" xfId="0" applyFont="1" applyFill="1" applyBorder="1" applyAlignment="1" applyProtection="1">
      <alignment horizontal="center" vertical="center"/>
      <protection hidden="1"/>
    </xf>
    <xf numFmtId="0" fontId="5" fillId="11" borderId="72" xfId="0" applyFont="1" applyFill="1" applyBorder="1" applyAlignment="1" applyProtection="1">
      <alignment horizontal="right" vertical="center"/>
      <protection hidden="1"/>
    </xf>
    <xf numFmtId="171" fontId="5" fillId="11" borderId="171" xfId="0" applyNumberFormat="1" applyFont="1" applyFill="1" applyBorder="1" applyAlignment="1" applyProtection="1">
      <alignment horizontal="center" vertical="center"/>
      <protection hidden="1"/>
    </xf>
    <xf numFmtId="164" fontId="5" fillId="11" borderId="172" xfId="0" applyNumberFormat="1" applyFont="1" applyFill="1" applyBorder="1" applyAlignment="1" applyProtection="1">
      <alignment horizontal="center" vertical="center"/>
      <protection hidden="1"/>
    </xf>
    <xf numFmtId="0" fontId="7" fillId="0" borderId="106" xfId="0" applyFont="1" applyBorder="1" applyAlignment="1" applyProtection="1">
      <alignment vertical="center"/>
      <protection hidden="1"/>
    </xf>
    <xf numFmtId="165" fontId="5" fillId="11" borderId="142" xfId="0" applyNumberFormat="1" applyFont="1" applyFill="1" applyBorder="1" applyAlignment="1" applyProtection="1">
      <alignment horizontal="center" vertical="center"/>
      <protection hidden="1"/>
    </xf>
    <xf numFmtId="3" fontId="39" fillId="2" borderId="228" xfId="0" applyNumberFormat="1" applyFont="1" applyFill="1" applyBorder="1" applyAlignment="1" applyProtection="1">
      <alignment horizontal="center" vertical="center"/>
      <protection hidden="1"/>
    </xf>
    <xf numFmtId="165" fontId="39" fillId="2" borderId="2" xfId="0" applyNumberFormat="1" applyFont="1" applyFill="1" applyBorder="1" applyAlignment="1" applyProtection="1">
      <alignment horizontal="center" vertical="center"/>
      <protection hidden="1"/>
    </xf>
    <xf numFmtId="4" fontId="39" fillId="2" borderId="229" xfId="0" applyNumberFormat="1" applyFont="1" applyFill="1" applyBorder="1" applyAlignment="1" applyProtection="1">
      <alignment horizontal="center" vertical="center"/>
      <protection hidden="1"/>
    </xf>
    <xf numFmtId="0" fontId="39" fillId="2" borderId="145" xfId="0" applyFont="1" applyFill="1" applyBorder="1" applyAlignment="1" applyProtection="1">
      <alignment horizontal="right" vertical="center" indent="1"/>
      <protection hidden="1"/>
    </xf>
    <xf numFmtId="172" fontId="15" fillId="2" borderId="187" xfId="0" applyNumberFormat="1" applyFont="1" applyFill="1" applyBorder="1" applyAlignment="1" applyProtection="1">
      <alignment horizontal="center" vertical="center"/>
      <protection hidden="1"/>
    </xf>
    <xf numFmtId="172" fontId="15" fillId="2" borderId="113" xfId="0" applyNumberFormat="1" applyFont="1" applyFill="1" applyBorder="1" applyAlignment="1" applyProtection="1">
      <alignment horizontal="center" vertical="center"/>
      <protection hidden="1"/>
    </xf>
    <xf numFmtId="0" fontId="39" fillId="0" borderId="22" xfId="0" applyFont="1" applyBorder="1" applyAlignment="1" applyProtection="1">
      <alignment vertical="center"/>
      <protection hidden="1"/>
    </xf>
    <xf numFmtId="171" fontId="39" fillId="0" borderId="22" xfId="0" applyNumberFormat="1" applyFont="1" applyBorder="1" applyAlignment="1" applyProtection="1">
      <alignment horizontal="center" vertical="center"/>
      <protection hidden="1"/>
    </xf>
    <xf numFmtId="165" fontId="39" fillId="0" borderId="22" xfId="0" applyNumberFormat="1" applyFont="1" applyBorder="1" applyAlignment="1" applyProtection="1">
      <alignment horizontal="center" vertical="center"/>
      <protection hidden="1"/>
    </xf>
    <xf numFmtId="2" fontId="39" fillId="0" borderId="113" xfId="0" applyNumberFormat="1" applyFont="1" applyBorder="1" applyAlignment="1" applyProtection="1">
      <alignment horizontal="center" vertical="center"/>
      <protection hidden="1"/>
    </xf>
    <xf numFmtId="2" fontId="39" fillId="0" borderId="153" xfId="0" applyNumberFormat="1" applyFont="1" applyBorder="1" applyAlignment="1" applyProtection="1">
      <alignment horizontal="center" vertical="center"/>
      <protection hidden="1"/>
    </xf>
    <xf numFmtId="0" fontId="39" fillId="0" borderId="186" xfId="0" applyFont="1" applyBorder="1" applyAlignment="1" applyProtection="1">
      <alignment horizontal="right" vertical="center"/>
      <protection hidden="1"/>
    </xf>
    <xf numFmtId="171" fontId="39" fillId="0" borderId="28" xfId="0" applyNumberFormat="1" applyFont="1" applyBorder="1" applyAlignment="1" applyProtection="1">
      <alignment horizontal="center" vertical="center"/>
      <protection hidden="1"/>
    </xf>
    <xf numFmtId="165" fontId="39" fillId="0" borderId="28" xfId="0" applyNumberFormat="1" applyFont="1" applyBorder="1" applyAlignment="1" applyProtection="1">
      <alignment horizontal="center" vertical="center"/>
      <protection hidden="1"/>
    </xf>
    <xf numFmtId="2" fontId="39" fillId="0" borderId="187" xfId="0" applyNumberFormat="1" applyFont="1" applyBorder="1" applyAlignment="1" applyProtection="1">
      <alignment horizontal="center" vertical="center"/>
      <protection hidden="1"/>
    </xf>
    <xf numFmtId="0" fontId="31" fillId="2" borderId="0" xfId="0" applyFont="1" applyFill="1" applyAlignment="1" applyProtection="1">
      <alignment vertical="center"/>
      <protection hidden="1"/>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vertical="center"/>
      <protection hidden="1"/>
    </xf>
    <xf numFmtId="0" fontId="20" fillId="2" borderId="0" xfId="0" applyFont="1" applyFill="1" applyAlignment="1" applyProtection="1">
      <alignment vertical="center"/>
      <protection hidden="1"/>
    </xf>
    <xf numFmtId="0" fontId="20" fillId="2" borderId="0" xfId="0" applyFont="1" applyFill="1" applyAlignment="1" applyProtection="1">
      <alignment horizontal="center" vertical="center"/>
      <protection hidden="1"/>
    </xf>
    <xf numFmtId="0" fontId="18" fillId="2" borderId="0" xfId="0" applyFont="1" applyFill="1" applyAlignment="1" applyProtection="1">
      <alignment horizontal="right" vertical="center" indent="1"/>
      <protection hidden="1"/>
    </xf>
    <xf numFmtId="3" fontId="18" fillId="2" borderId="0" xfId="0" applyNumberFormat="1" applyFont="1" applyFill="1" applyAlignment="1" applyProtection="1">
      <alignment horizontal="center" vertical="center"/>
      <protection hidden="1"/>
    </xf>
    <xf numFmtId="0" fontId="44" fillId="3" borderId="230" xfId="0" applyFont="1" applyFill="1" applyBorder="1" applyAlignment="1" applyProtection="1">
      <alignment horizontal="center" vertical="center"/>
      <protection locked="0"/>
    </xf>
    <xf numFmtId="180" fontId="15" fillId="2" borderId="88" xfId="0" applyNumberFormat="1" applyFont="1" applyFill="1" applyBorder="1" applyAlignment="1" applyProtection="1">
      <alignment horizontal="center" vertical="center"/>
      <protection hidden="1"/>
    </xf>
    <xf numFmtId="180" fontId="1" fillId="2" borderId="88" xfId="0" applyNumberFormat="1" applyFont="1" applyFill="1" applyBorder="1" applyAlignment="1" applyProtection="1">
      <alignment horizontal="center" vertical="center"/>
      <protection hidden="1"/>
    </xf>
    <xf numFmtId="181" fontId="2" fillId="2" borderId="88" xfId="0" applyNumberFormat="1" applyFont="1" applyFill="1" applyBorder="1" applyAlignment="1" applyProtection="1">
      <alignment horizontal="center" vertical="center"/>
      <protection hidden="1"/>
    </xf>
    <xf numFmtId="181" fontId="2" fillId="2" borderId="159" xfId="0" applyNumberFormat="1" applyFont="1" applyFill="1" applyBorder="1" applyAlignment="1" applyProtection="1">
      <alignment horizontal="center" vertical="center"/>
      <protection hidden="1"/>
    </xf>
    <xf numFmtId="181" fontId="2" fillId="2" borderId="149" xfId="0" applyNumberFormat="1" applyFont="1" applyFill="1" applyBorder="1" applyAlignment="1" applyProtection="1">
      <alignment horizontal="center" vertical="center"/>
      <protection hidden="1"/>
    </xf>
    <xf numFmtId="181" fontId="2" fillId="2" borderId="151" xfId="0" applyNumberFormat="1" applyFont="1" applyFill="1" applyBorder="1" applyAlignment="1" applyProtection="1">
      <alignment horizontal="center" vertical="center"/>
      <protection hidden="1"/>
    </xf>
    <xf numFmtId="181" fontId="2" fillId="2" borderId="113" xfId="0" applyNumberFormat="1" applyFont="1" applyFill="1" applyBorder="1" applyAlignment="1" applyProtection="1">
      <alignment horizontal="center" vertical="center"/>
      <protection hidden="1"/>
    </xf>
    <xf numFmtId="181" fontId="2" fillId="2" borderId="147" xfId="0" applyNumberFormat="1" applyFont="1" applyFill="1" applyBorder="1" applyAlignment="1" applyProtection="1">
      <alignment horizontal="center" vertical="center"/>
      <protection hidden="1"/>
    </xf>
    <xf numFmtId="181" fontId="2" fillId="2" borderId="116" xfId="0" applyNumberFormat="1" applyFont="1" applyFill="1" applyBorder="1" applyAlignment="1" applyProtection="1">
      <alignment horizontal="center" vertical="center"/>
      <protection hidden="1"/>
    </xf>
    <xf numFmtId="181" fontId="1" fillId="2" borderId="88" xfId="0" applyNumberFormat="1" applyFont="1" applyFill="1" applyBorder="1" applyAlignment="1" applyProtection="1">
      <alignment horizontal="center" vertical="center"/>
      <protection hidden="1"/>
    </xf>
    <xf numFmtId="181" fontId="1" fillId="0" borderId="22" xfId="0" applyNumberFormat="1" applyFont="1" applyBorder="1" applyAlignment="1" applyProtection="1">
      <alignment horizontal="center" vertical="center"/>
      <protection hidden="1"/>
    </xf>
    <xf numFmtId="181" fontId="1" fillId="0" borderId="21" xfId="0" applyNumberFormat="1" applyFont="1" applyBorder="1" applyAlignment="1" applyProtection="1">
      <alignment horizontal="center" vertical="center"/>
      <protection hidden="1"/>
    </xf>
    <xf numFmtId="181" fontId="15" fillId="2" borderId="88" xfId="0" applyNumberFormat="1" applyFont="1" applyFill="1" applyBorder="1" applyAlignment="1" applyProtection="1">
      <alignment horizontal="center" vertical="center"/>
      <protection hidden="1"/>
    </xf>
    <xf numFmtId="181" fontId="39" fillId="2" borderId="178" xfId="0" applyNumberFormat="1" applyFont="1" applyFill="1" applyBorder="1" applyAlignment="1" applyProtection="1">
      <alignment horizontal="center" vertical="center"/>
      <protection hidden="1"/>
    </xf>
    <xf numFmtId="181" fontId="39" fillId="2" borderId="87" xfId="0" applyNumberFormat="1" applyFont="1" applyFill="1" applyBorder="1" applyAlignment="1" applyProtection="1">
      <alignment horizontal="center" vertical="center"/>
      <protection hidden="1"/>
    </xf>
    <xf numFmtId="181" fontId="39" fillId="2" borderId="93" xfId="0" applyNumberFormat="1" applyFont="1" applyFill="1" applyBorder="1" applyAlignment="1" applyProtection="1">
      <alignment horizontal="center" vertical="center"/>
      <protection hidden="1"/>
    </xf>
    <xf numFmtId="181" fontId="15" fillId="2" borderId="87" xfId="0" applyNumberFormat="1" applyFont="1" applyFill="1" applyBorder="1" applyAlignment="1" applyProtection="1">
      <alignment horizontal="center" vertical="center"/>
      <protection hidden="1"/>
    </xf>
    <xf numFmtId="181" fontId="15" fillId="2" borderId="93" xfId="0" applyNumberFormat="1" applyFont="1" applyFill="1" applyBorder="1" applyAlignment="1" applyProtection="1">
      <alignment horizontal="center" vertical="center"/>
      <protection hidden="1"/>
    </xf>
    <xf numFmtId="181" fontId="15" fillId="0" borderId="87" xfId="0" applyNumberFormat="1" applyFont="1" applyBorder="1" applyAlignment="1" applyProtection="1">
      <alignment horizontal="center" vertical="center"/>
      <protection hidden="1"/>
    </xf>
    <xf numFmtId="181" fontId="15" fillId="0" borderId="93" xfId="0" applyNumberFormat="1" applyFont="1" applyBorder="1" applyAlignment="1" applyProtection="1">
      <alignment horizontal="center" vertical="center"/>
      <protection hidden="1"/>
    </xf>
    <xf numFmtId="0" fontId="46" fillId="0" borderId="0" xfId="0" applyFont="1" applyAlignment="1" applyProtection="1">
      <alignment horizontal="right" vertical="center"/>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46" fillId="0" borderId="0" xfId="0" applyFont="1" applyAlignment="1" applyProtection="1">
      <alignment vertical="center"/>
      <protection hidden="1"/>
    </xf>
    <xf numFmtId="171" fontId="14" fillId="0" borderId="0" xfId="0" applyNumberFormat="1" applyFont="1" applyAlignment="1" applyProtection="1">
      <alignment horizontal="center" vertical="center"/>
      <protection hidden="1"/>
    </xf>
    <xf numFmtId="1" fontId="14" fillId="0" borderId="0" xfId="0" applyNumberFormat="1" applyFont="1" applyAlignment="1" applyProtection="1">
      <alignment vertical="center"/>
      <protection hidden="1"/>
    </xf>
    <xf numFmtId="183" fontId="6" fillId="2" borderId="0" xfId="0" applyNumberFormat="1" applyFont="1" applyFill="1" applyAlignment="1" applyProtection="1">
      <alignment horizontal="center" vertical="center"/>
      <protection hidden="1"/>
    </xf>
    <xf numFmtId="0" fontId="6" fillId="2" borderId="0" xfId="0" applyFont="1" applyFill="1" applyAlignment="1" applyProtection="1">
      <alignment horizontal="center" vertical="center"/>
      <protection hidden="1"/>
    </xf>
    <xf numFmtId="0" fontId="6" fillId="2" borderId="0" xfId="0" applyFont="1" applyFill="1" applyAlignment="1" applyProtection="1">
      <alignment horizontal="right" vertical="center"/>
      <protection hidden="1"/>
    </xf>
    <xf numFmtId="182" fontId="6" fillId="2" borderId="0" xfId="0" applyNumberFormat="1" applyFont="1" applyFill="1" applyAlignment="1" applyProtection="1">
      <alignment horizontal="center" vertical="center"/>
      <protection hidden="1"/>
    </xf>
    <xf numFmtId="9" fontId="6" fillId="2" borderId="0" xfId="0" applyNumberFormat="1" applyFont="1" applyFill="1" applyAlignment="1" applyProtection="1">
      <alignment horizontal="center" vertical="center"/>
      <protection hidden="1"/>
    </xf>
    <xf numFmtId="9" fontId="6" fillId="2" borderId="0" xfId="1" applyFont="1" applyFill="1" applyAlignment="1" applyProtection="1">
      <alignment horizontal="center" vertical="center"/>
      <protection hidden="1"/>
    </xf>
    <xf numFmtId="0" fontId="47" fillId="2" borderId="0" xfId="0" applyFont="1" applyFill="1" applyAlignment="1" applyProtection="1">
      <alignment vertical="center"/>
      <protection hidden="1"/>
    </xf>
    <xf numFmtId="0" fontId="47" fillId="2" borderId="0" xfId="0" applyFont="1" applyFill="1" applyAlignment="1" applyProtection="1">
      <alignment horizontal="center" vertical="center"/>
      <protection hidden="1"/>
    </xf>
    <xf numFmtId="0" fontId="16" fillId="2" borderId="0" xfId="0" applyFont="1" applyFill="1" applyAlignment="1" applyProtection="1">
      <alignment vertical="center"/>
      <protection hidden="1"/>
    </xf>
    <xf numFmtId="0" fontId="16" fillId="2" borderId="0" xfId="0" applyFont="1" applyFill="1" applyAlignment="1" applyProtection="1">
      <alignment horizontal="center" vertical="center"/>
      <protection hidden="1"/>
    </xf>
    <xf numFmtId="176" fontId="16" fillId="2" borderId="0" xfId="0" applyNumberFormat="1" applyFont="1" applyFill="1" applyAlignment="1" applyProtection="1">
      <alignment horizontal="center" vertical="center"/>
      <protection hidden="1"/>
    </xf>
    <xf numFmtId="166" fontId="47" fillId="2" borderId="0" xfId="0" applyNumberFormat="1" applyFont="1" applyFill="1" applyAlignment="1" applyProtection="1">
      <alignment horizontal="center" vertical="center"/>
      <protection hidden="1"/>
    </xf>
    <xf numFmtId="171" fontId="16"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vertical="center"/>
      <protection hidden="1"/>
    </xf>
    <xf numFmtId="0" fontId="47" fillId="0" borderId="0" xfId="0" applyFont="1" applyAlignment="1" applyProtection="1">
      <alignment vertical="center"/>
      <protection hidden="1"/>
    </xf>
    <xf numFmtId="0" fontId="47" fillId="0" borderId="0" xfId="0" applyFont="1" applyAlignment="1" applyProtection="1">
      <alignment horizontal="center" vertical="center"/>
      <protection hidden="1"/>
    </xf>
    <xf numFmtId="0" fontId="48" fillId="0" borderId="0" xfId="0" applyFont="1" applyAlignment="1" applyProtection="1">
      <alignment vertical="center"/>
      <protection hidden="1"/>
    </xf>
    <xf numFmtId="0" fontId="16" fillId="0" borderId="0" xfId="0" applyFont="1" applyAlignment="1" applyProtection="1">
      <alignment vertical="center" wrapText="1"/>
      <protection hidden="1"/>
    </xf>
    <xf numFmtId="184" fontId="6" fillId="2" borderId="0" xfId="0" applyNumberFormat="1" applyFont="1" applyFill="1" applyAlignment="1" applyProtection="1">
      <alignment horizontal="center" vertical="center"/>
      <protection hidden="1"/>
    </xf>
    <xf numFmtId="0" fontId="4" fillId="0" borderId="0" xfId="0" applyFont="1" applyAlignment="1" applyProtection="1">
      <alignment horizontal="left" vertical="center"/>
      <protection hidden="1"/>
    </xf>
    <xf numFmtId="185" fontId="6" fillId="2" borderId="0" xfId="0" applyNumberFormat="1" applyFont="1" applyFill="1" applyAlignment="1" applyProtection="1">
      <alignment horizontal="center" vertical="center"/>
      <protection hidden="1"/>
    </xf>
    <xf numFmtId="172" fontId="1" fillId="12" borderId="137" xfId="0" applyNumberFormat="1" applyFont="1" applyFill="1" applyBorder="1" applyAlignment="1" applyProtection="1">
      <alignment horizontal="center" vertical="center"/>
      <protection locked="0"/>
    </xf>
    <xf numFmtId="172" fontId="1" fillId="12" borderId="139" xfId="0" applyNumberFormat="1" applyFont="1" applyFill="1" applyBorder="1" applyAlignment="1" applyProtection="1">
      <alignment horizontal="center" vertical="center"/>
      <protection locked="0"/>
    </xf>
    <xf numFmtId="0" fontId="16" fillId="0" borderId="0" xfId="0" applyFont="1" applyAlignment="1" applyProtection="1">
      <alignment horizontal="right" vertical="center"/>
      <protection hidden="1"/>
    </xf>
    <xf numFmtId="0" fontId="48" fillId="0" borderId="0" xfId="0" applyFont="1" applyAlignment="1" applyProtection="1">
      <alignment horizontal="right" vertical="center"/>
      <protection hidden="1"/>
    </xf>
    <xf numFmtId="0" fontId="49" fillId="0" borderId="0" xfId="0" applyFont="1" applyAlignment="1" applyProtection="1">
      <alignment vertical="center"/>
      <protection hidden="1"/>
    </xf>
    <xf numFmtId="172" fontId="15" fillId="0" borderId="157" xfId="0" applyNumberFormat="1" applyFont="1" applyBorder="1" applyAlignment="1" applyProtection="1">
      <alignment horizontal="center" vertical="center"/>
      <protection hidden="1"/>
    </xf>
    <xf numFmtId="172" fontId="15" fillId="0" borderId="91" xfId="0" applyNumberFormat="1" applyFont="1" applyBorder="1" applyAlignment="1" applyProtection="1">
      <alignment horizontal="center" vertical="center"/>
      <protection hidden="1"/>
    </xf>
    <xf numFmtId="172" fontId="15" fillId="0" borderId="127" xfId="0" applyNumberFormat="1" applyFont="1" applyBorder="1" applyAlignment="1" applyProtection="1">
      <alignment horizontal="center" vertical="center"/>
      <protection hidden="1"/>
    </xf>
    <xf numFmtId="172" fontId="15" fillId="0" borderId="97" xfId="0" applyNumberFormat="1" applyFont="1" applyBorder="1" applyAlignment="1" applyProtection="1">
      <alignment horizontal="center" vertical="center"/>
      <protection hidden="1"/>
    </xf>
    <xf numFmtId="172" fontId="15" fillId="2" borderId="91" xfId="0" applyNumberFormat="1" applyFont="1" applyFill="1" applyBorder="1" applyAlignment="1" applyProtection="1">
      <alignment horizontal="center" vertical="center"/>
      <protection hidden="1"/>
    </xf>
    <xf numFmtId="172" fontId="5" fillId="11" borderId="170" xfId="0" applyNumberFormat="1" applyFont="1" applyFill="1" applyBorder="1" applyAlignment="1" applyProtection="1">
      <alignment horizontal="center" vertical="center"/>
      <protection hidden="1"/>
    </xf>
    <xf numFmtId="172" fontId="15" fillId="2" borderId="94" xfId="0" applyNumberFormat="1" applyFont="1" applyFill="1" applyBorder="1" applyAlignment="1" applyProtection="1">
      <alignment horizontal="center" vertical="center"/>
      <protection hidden="1"/>
    </xf>
    <xf numFmtId="186" fontId="2" fillId="0" borderId="126" xfId="0" applyNumberFormat="1" applyFont="1" applyBorder="1" applyAlignment="1" applyProtection="1">
      <alignment horizontal="center" vertical="center"/>
      <protection hidden="1"/>
    </xf>
    <xf numFmtId="186" fontId="5" fillId="11" borderId="99" xfId="0" applyNumberFormat="1" applyFont="1" applyFill="1" applyBorder="1" applyAlignment="1" applyProtection="1">
      <alignment horizontal="center" vertical="center"/>
      <protection hidden="1"/>
    </xf>
    <xf numFmtId="172" fontId="1" fillId="2" borderId="127" xfId="0" applyNumberFormat="1" applyFont="1" applyFill="1" applyBorder="1" applyAlignment="1" applyProtection="1">
      <alignment horizontal="center" vertical="center"/>
      <protection hidden="1"/>
    </xf>
    <xf numFmtId="172" fontId="1" fillId="2" borderId="97" xfId="0" applyNumberFormat="1" applyFont="1" applyFill="1" applyBorder="1" applyAlignment="1" applyProtection="1">
      <alignment horizontal="center" vertical="center"/>
      <protection hidden="1"/>
    </xf>
    <xf numFmtId="172" fontId="5" fillId="11" borderId="111" xfId="0" applyNumberFormat="1" applyFont="1" applyFill="1" applyBorder="1" applyAlignment="1" applyProtection="1">
      <alignment horizontal="center" vertical="center"/>
      <protection hidden="1"/>
    </xf>
    <xf numFmtId="172" fontId="1" fillId="2" borderId="113" xfId="0" applyNumberFormat="1" applyFont="1" applyFill="1" applyBorder="1" applyAlignment="1" applyProtection="1">
      <alignment horizontal="center" vertical="center"/>
      <protection hidden="1"/>
    </xf>
    <xf numFmtId="172" fontId="1" fillId="2" borderId="153" xfId="0" applyNumberFormat="1" applyFont="1" applyFill="1" applyBorder="1" applyAlignment="1" applyProtection="1">
      <alignment horizontal="center" vertical="center"/>
      <protection hidden="1"/>
    </xf>
    <xf numFmtId="172" fontId="1" fillId="2" borderId="116" xfId="0" applyNumberFormat="1" applyFont="1" applyFill="1" applyBorder="1" applyAlignment="1" applyProtection="1">
      <alignment horizontal="center" vertical="center"/>
      <protection hidden="1"/>
    </xf>
    <xf numFmtId="172" fontId="5" fillId="11" borderId="172" xfId="0" applyNumberFormat="1" applyFont="1" applyFill="1" applyBorder="1" applyAlignment="1" applyProtection="1">
      <alignment horizontal="center" vertical="center"/>
      <protection hidden="1"/>
    </xf>
    <xf numFmtId="172" fontId="1" fillId="2" borderId="88" xfId="0" applyNumberFormat="1" applyFont="1" applyFill="1" applyBorder="1" applyAlignment="1" applyProtection="1">
      <alignment horizontal="center" vertical="center"/>
      <protection hidden="1"/>
    </xf>
    <xf numFmtId="172" fontId="1" fillId="2" borderId="94" xfId="0" applyNumberFormat="1" applyFont="1" applyFill="1" applyBorder="1" applyAlignment="1" applyProtection="1">
      <alignment horizontal="center" vertical="center"/>
      <protection hidden="1"/>
    </xf>
    <xf numFmtId="186" fontId="39" fillId="0" borderId="90" xfId="0" applyNumberFormat="1" applyFont="1" applyBorder="1" applyAlignment="1" applyProtection="1">
      <alignment horizontal="center" vertical="center"/>
      <protection hidden="1"/>
    </xf>
    <xf numFmtId="172" fontId="15" fillId="0" borderId="88" xfId="0" applyNumberFormat="1" applyFont="1" applyBorder="1" applyAlignment="1" applyProtection="1">
      <alignment horizontal="center" vertical="center"/>
      <protection hidden="1"/>
    </xf>
    <xf numFmtId="172" fontId="15" fillId="0" borderId="94" xfId="0" applyNumberFormat="1" applyFont="1" applyBorder="1" applyAlignment="1" applyProtection="1">
      <alignment horizontal="center" vertical="center"/>
      <protection hidden="1"/>
    </xf>
    <xf numFmtId="172" fontId="5" fillId="11" borderId="180" xfId="0" applyNumberFormat="1" applyFont="1" applyFill="1" applyBorder="1" applyAlignment="1" applyProtection="1">
      <alignment horizontal="center" vertical="center"/>
      <protection hidden="1"/>
    </xf>
    <xf numFmtId="186" fontId="15" fillId="2" borderId="127" xfId="0" applyNumberFormat="1" applyFont="1" applyFill="1" applyBorder="1" applyAlignment="1" applyProtection="1">
      <alignment horizontal="center" vertical="center"/>
      <protection hidden="1"/>
    </xf>
    <xf numFmtId="186" fontId="15" fillId="12" borderId="137" xfId="0" applyNumberFormat="1" applyFont="1" applyFill="1" applyBorder="1" applyAlignment="1" applyProtection="1">
      <alignment horizontal="center" vertical="center"/>
      <protection locked="0"/>
    </xf>
    <xf numFmtId="186" fontId="15" fillId="12" borderId="139" xfId="0" applyNumberFormat="1" applyFont="1" applyFill="1" applyBorder="1" applyAlignment="1" applyProtection="1">
      <alignment horizontal="center" vertical="center"/>
      <protection locked="0"/>
    </xf>
    <xf numFmtId="186" fontId="15" fillId="2" borderId="97" xfId="0" applyNumberFormat="1" applyFont="1" applyFill="1" applyBorder="1" applyAlignment="1" applyProtection="1">
      <alignment horizontal="center" vertical="center"/>
      <protection hidden="1"/>
    </xf>
    <xf numFmtId="186" fontId="15" fillId="2" borderId="91" xfId="0" applyNumberFormat="1" applyFont="1" applyFill="1" applyBorder="1" applyAlignment="1" applyProtection="1">
      <alignment horizontal="center" vertical="center"/>
      <protection hidden="1"/>
    </xf>
    <xf numFmtId="186" fontId="15" fillId="2" borderId="199" xfId="0" applyNumberFormat="1" applyFont="1" applyFill="1" applyBorder="1" applyAlignment="1" applyProtection="1">
      <alignment horizontal="center" vertical="center"/>
      <protection hidden="1"/>
    </xf>
    <xf numFmtId="186" fontId="5" fillId="11" borderId="100" xfId="0" applyNumberFormat="1" applyFont="1" applyFill="1" applyBorder="1" applyAlignment="1" applyProtection="1">
      <alignment horizontal="center" vertical="center"/>
      <protection hidden="1"/>
    </xf>
    <xf numFmtId="186" fontId="4" fillId="0" borderId="88" xfId="0" applyNumberFormat="1" applyFont="1" applyBorder="1" applyAlignment="1" applyProtection="1">
      <alignment horizontal="center" vertical="center"/>
      <protection hidden="1"/>
    </xf>
    <xf numFmtId="186" fontId="4" fillId="0" borderId="91" xfId="0" applyNumberFormat="1" applyFont="1" applyBorder="1" applyAlignment="1" applyProtection="1">
      <alignment horizontal="center" vertical="center"/>
      <protection hidden="1"/>
    </xf>
    <xf numFmtId="186" fontId="4" fillId="0" borderId="94" xfId="0" applyNumberFormat="1" applyFont="1" applyBorder="1" applyAlignment="1" applyProtection="1">
      <alignment horizontal="center" vertical="center"/>
      <protection hidden="1"/>
    </xf>
    <xf numFmtId="186" fontId="39" fillId="0" borderId="93" xfId="0" applyNumberFormat="1" applyFont="1" applyBorder="1" applyAlignment="1" applyProtection="1">
      <alignment horizontal="center" vertical="center"/>
      <protection hidden="1"/>
    </xf>
    <xf numFmtId="186" fontId="5" fillId="11" borderId="196" xfId="0" applyNumberFormat="1" applyFont="1" applyFill="1" applyBorder="1" applyAlignment="1" applyProtection="1">
      <alignment horizontal="center" vertical="center"/>
      <protection hidden="1"/>
    </xf>
    <xf numFmtId="186" fontId="15" fillId="0" borderId="5" xfId="0" applyNumberFormat="1" applyFont="1" applyBorder="1" applyAlignment="1" applyProtection="1">
      <alignment horizontal="center" vertical="center"/>
      <protection hidden="1"/>
    </xf>
    <xf numFmtId="186" fontId="15" fillId="0" borderId="17" xfId="0" applyNumberFormat="1" applyFont="1" applyBorder="1" applyAlignment="1" applyProtection="1">
      <alignment horizontal="center" vertical="center"/>
      <protection hidden="1"/>
    </xf>
    <xf numFmtId="186" fontId="15" fillId="0" borderId="10" xfId="0" applyNumberFormat="1" applyFont="1" applyBorder="1" applyAlignment="1" applyProtection="1">
      <alignment horizontal="center" vertical="center"/>
      <protection hidden="1"/>
    </xf>
    <xf numFmtId="186" fontId="15" fillId="2" borderId="5" xfId="0" applyNumberFormat="1" applyFont="1" applyFill="1" applyBorder="1" applyAlignment="1" applyProtection="1">
      <alignment horizontal="center" vertical="center"/>
      <protection hidden="1"/>
    </xf>
    <xf numFmtId="186" fontId="5" fillId="11" borderId="172" xfId="0" applyNumberFormat="1" applyFont="1" applyFill="1" applyBorder="1" applyAlignment="1" applyProtection="1">
      <alignment horizontal="center" vertical="center"/>
      <protection hidden="1"/>
    </xf>
    <xf numFmtId="186" fontId="15" fillId="0" borderId="88" xfId="0" applyNumberFormat="1" applyFont="1" applyBorder="1" applyAlignment="1" applyProtection="1">
      <alignment horizontal="center" vertical="center"/>
      <protection hidden="1"/>
    </xf>
    <xf numFmtId="186" fontId="15" fillId="0" borderId="91" xfId="0" applyNumberFormat="1" applyFont="1" applyBorder="1" applyAlignment="1" applyProtection="1">
      <alignment horizontal="center" vertical="center"/>
      <protection hidden="1"/>
    </xf>
    <xf numFmtId="186" fontId="15" fillId="0" borderId="94" xfId="0" applyNumberFormat="1" applyFont="1" applyBorder="1" applyAlignment="1" applyProtection="1">
      <alignment horizontal="center" vertical="center"/>
      <protection hidden="1"/>
    </xf>
    <xf numFmtId="172" fontId="15" fillId="2" borderId="153" xfId="0" applyNumberFormat="1" applyFont="1" applyFill="1" applyBorder="1" applyAlignment="1" applyProtection="1">
      <alignment horizontal="center" vertical="center"/>
      <protection hidden="1"/>
    </xf>
    <xf numFmtId="172" fontId="15" fillId="0" borderId="199" xfId="0" applyNumberFormat="1" applyFont="1" applyBorder="1" applyAlignment="1" applyProtection="1">
      <alignment horizontal="center" vertical="center"/>
      <protection hidden="1"/>
    </xf>
    <xf numFmtId="186" fontId="15" fillId="2" borderId="187" xfId="0" applyNumberFormat="1" applyFont="1" applyFill="1" applyBorder="1" applyAlignment="1" applyProtection="1">
      <alignment horizontal="center" vertical="center"/>
      <protection hidden="1"/>
    </xf>
    <xf numFmtId="186" fontId="15" fillId="12" borderId="174" xfId="0" applyNumberFormat="1" applyFont="1" applyFill="1" applyBorder="1" applyAlignment="1" applyProtection="1">
      <alignment horizontal="center" vertical="center"/>
      <protection locked="0"/>
    </xf>
    <xf numFmtId="186" fontId="15" fillId="12" borderId="124" xfId="0" applyNumberFormat="1" applyFont="1" applyFill="1" applyBorder="1" applyAlignment="1" applyProtection="1">
      <alignment horizontal="center" vertical="center"/>
      <protection locked="0"/>
    </xf>
    <xf numFmtId="186" fontId="15" fillId="2" borderId="113" xfId="0" applyNumberFormat="1" applyFont="1" applyFill="1" applyBorder="1" applyAlignment="1" applyProtection="1">
      <alignment horizontal="center" vertical="center"/>
      <protection hidden="1"/>
    </xf>
    <xf numFmtId="186" fontId="15" fillId="2" borderId="153" xfId="0" applyNumberFormat="1" applyFont="1" applyFill="1" applyBorder="1" applyAlignment="1" applyProtection="1">
      <alignment horizontal="center" vertical="center"/>
      <protection hidden="1"/>
    </xf>
    <xf numFmtId="186" fontId="15" fillId="2" borderId="116" xfId="0" applyNumberFormat="1" applyFont="1" applyFill="1" applyBorder="1" applyAlignment="1" applyProtection="1">
      <alignment horizontal="center" vertical="center"/>
      <protection hidden="1"/>
    </xf>
    <xf numFmtId="186" fontId="5" fillId="11" borderId="171" xfId="0" applyNumberFormat="1" applyFont="1" applyFill="1" applyBorder="1" applyAlignment="1" applyProtection="1">
      <alignment horizontal="center" vertical="center"/>
      <protection hidden="1"/>
    </xf>
    <xf numFmtId="0" fontId="14" fillId="0" borderId="81" xfId="0" applyFont="1" applyBorder="1" applyAlignment="1" applyProtection="1">
      <alignment vertical="center"/>
      <protection hidden="1"/>
    </xf>
    <xf numFmtId="0" fontId="14" fillId="0" borderId="82" xfId="0" applyFont="1" applyBorder="1" applyAlignment="1" applyProtection="1">
      <alignment horizontal="center" vertical="center"/>
      <protection hidden="1"/>
    </xf>
    <xf numFmtId="0" fontId="14" fillId="0" borderId="83" xfId="0" applyFont="1" applyBorder="1" applyAlignment="1" applyProtection="1">
      <alignment vertical="center"/>
      <protection hidden="1"/>
    </xf>
    <xf numFmtId="0" fontId="14" fillId="0" borderId="84" xfId="0" applyFont="1" applyBorder="1" applyAlignment="1" applyProtection="1">
      <alignment horizontal="center" vertical="center"/>
      <protection hidden="1"/>
    </xf>
    <xf numFmtId="22" fontId="10" fillId="0" borderId="0" xfId="0" applyNumberFormat="1" applyFont="1" applyAlignment="1" applyProtection="1">
      <alignment horizontal="center" vertical="center"/>
      <protection hidden="1"/>
    </xf>
    <xf numFmtId="0" fontId="51" fillId="0" borderId="0" xfId="0" applyFont="1" applyAlignment="1" applyProtection="1">
      <alignment horizontal="center"/>
      <protection hidden="1"/>
    </xf>
    <xf numFmtId="0" fontId="35" fillId="2" borderId="0" xfId="0" applyFont="1" applyFill="1" applyAlignment="1" applyProtection="1">
      <alignment horizontal="center" vertical="center" wrapText="1"/>
      <protection hidden="1"/>
    </xf>
    <xf numFmtId="2" fontId="14" fillId="2" borderId="0" xfId="0" applyNumberFormat="1" applyFont="1" applyFill="1" applyAlignment="1" applyProtection="1">
      <alignment horizontal="right" vertical="center" indent="1"/>
      <protection hidden="1"/>
    </xf>
    <xf numFmtId="164" fontId="14" fillId="2" borderId="0" xfId="0" applyNumberFormat="1" applyFont="1" applyFill="1" applyAlignment="1" applyProtection="1">
      <alignment horizontal="center" vertical="center"/>
      <protection hidden="1"/>
    </xf>
    <xf numFmtId="0" fontId="51" fillId="0" borderId="0" xfId="0" applyFont="1" applyAlignment="1" applyProtection="1">
      <alignment vertical="center"/>
      <protection hidden="1"/>
    </xf>
    <xf numFmtId="0" fontId="14" fillId="2" borderId="0" xfId="0" applyFont="1" applyFill="1" applyAlignment="1" applyProtection="1">
      <alignment horizontal="right" vertical="center" indent="1"/>
      <protection hidden="1"/>
    </xf>
    <xf numFmtId="0" fontId="2" fillId="0" borderId="235" xfId="0" applyFont="1" applyBorder="1" applyAlignment="1" applyProtection="1">
      <alignment vertical="center"/>
      <protection hidden="1"/>
    </xf>
    <xf numFmtId="0" fontId="2" fillId="0" borderId="235" xfId="0" applyFont="1" applyBorder="1" applyAlignment="1" applyProtection="1">
      <alignment horizontal="center" vertical="center"/>
      <protection hidden="1"/>
    </xf>
    <xf numFmtId="0" fontId="5" fillId="2" borderId="236" xfId="0" applyFont="1" applyFill="1" applyBorder="1" applyAlignment="1" applyProtection="1">
      <alignment vertical="center"/>
      <protection hidden="1"/>
    </xf>
    <xf numFmtId="0" fontId="5" fillId="2" borderId="237" xfId="0" applyFont="1" applyFill="1" applyBorder="1" applyAlignment="1" applyProtection="1">
      <alignment vertical="center"/>
      <protection hidden="1"/>
    </xf>
    <xf numFmtId="0" fontId="5" fillId="2" borderId="238" xfId="0" applyFont="1" applyFill="1" applyBorder="1" applyAlignment="1" applyProtection="1">
      <alignment vertical="center"/>
      <protection hidden="1"/>
    </xf>
    <xf numFmtId="0" fontId="18" fillId="0" borderId="0" xfId="0" applyFont="1" applyAlignment="1" applyProtection="1">
      <alignment vertical="center"/>
      <protection hidden="1"/>
    </xf>
    <xf numFmtId="0" fontId="5" fillId="2" borderId="105" xfId="0" applyFont="1" applyFill="1" applyBorder="1" applyAlignment="1" applyProtection="1">
      <alignment vertical="center"/>
      <protection hidden="1"/>
    </xf>
    <xf numFmtId="0" fontId="5" fillId="2" borderId="235" xfId="0" applyFont="1" applyFill="1" applyBorder="1" applyAlignment="1" applyProtection="1">
      <alignment vertical="center"/>
      <protection hidden="1"/>
    </xf>
    <xf numFmtId="0" fontId="16" fillId="0" borderId="104" xfId="0" applyFont="1" applyBorder="1" applyAlignment="1" applyProtection="1">
      <alignment vertical="center"/>
      <protection hidden="1"/>
    </xf>
    <xf numFmtId="0" fontId="16" fillId="0" borderId="82" xfId="0" applyFont="1" applyBorder="1" applyAlignment="1" applyProtection="1">
      <alignment vertical="center"/>
      <protection hidden="1"/>
    </xf>
    <xf numFmtId="0" fontId="2" fillId="0" borderId="240" xfId="0" applyFont="1" applyBorder="1" applyAlignment="1" applyProtection="1">
      <alignment vertical="center"/>
      <protection hidden="1"/>
    </xf>
    <xf numFmtId="0" fontId="2" fillId="0" borderId="104" xfId="0" applyFont="1" applyBorder="1" applyAlignment="1" applyProtection="1">
      <alignment vertical="center"/>
      <protection hidden="1"/>
    </xf>
    <xf numFmtId="0" fontId="19" fillId="0" borderId="240" xfId="0" applyFont="1" applyBorder="1" applyAlignment="1" applyProtection="1">
      <alignment horizontal="center"/>
      <protection hidden="1"/>
    </xf>
    <xf numFmtId="0" fontId="20" fillId="0" borderId="240" xfId="0" applyFont="1" applyBorder="1" applyAlignment="1" applyProtection="1">
      <alignment horizontal="center" vertical="center"/>
      <protection hidden="1"/>
    </xf>
    <xf numFmtId="0" fontId="14" fillId="0" borderId="240" xfId="0" applyFont="1" applyBorder="1" applyAlignment="1" applyProtection="1">
      <alignment vertical="center"/>
      <protection hidden="1"/>
    </xf>
    <xf numFmtId="0" fontId="14" fillId="0" borderId="239" xfId="0" applyFont="1" applyBorder="1" applyAlignment="1" applyProtection="1">
      <alignment vertical="center"/>
      <protection hidden="1"/>
    </xf>
    <xf numFmtId="0" fontId="14" fillId="0" borderId="242" xfId="0" applyFont="1" applyBorder="1" applyAlignment="1" applyProtection="1">
      <alignment vertical="center"/>
      <protection hidden="1"/>
    </xf>
    <xf numFmtId="0" fontId="14" fillId="0" borderId="242" xfId="0" applyFont="1" applyBorder="1" applyAlignment="1" applyProtection="1">
      <alignment horizontal="center" vertical="center"/>
      <protection hidden="1"/>
    </xf>
    <xf numFmtId="0" fontId="14" fillId="0" borderId="241" xfId="0" applyFont="1" applyBorder="1" applyAlignment="1" applyProtection="1">
      <alignment vertical="center"/>
      <protection hidden="1"/>
    </xf>
    <xf numFmtId="0" fontId="41" fillId="0" borderId="0" xfId="0" applyFont="1" applyAlignment="1" applyProtection="1">
      <alignment horizontal="right" vertical="center" indent="1"/>
      <protection hidden="1"/>
    </xf>
    <xf numFmtId="0" fontId="22" fillId="7" borderId="0" xfId="0" applyFont="1" applyFill="1" applyAlignment="1" applyProtection="1">
      <alignment horizontal="center" vertical="center"/>
      <protection hidden="1"/>
    </xf>
    <xf numFmtId="0" fontId="20" fillId="7" borderId="0" xfId="0" applyFont="1" applyFill="1" applyAlignment="1" applyProtection="1">
      <alignment horizontal="left" vertical="center" indent="1"/>
      <protection hidden="1"/>
    </xf>
    <xf numFmtId="0" fontId="5" fillId="2" borderId="0" xfId="0" applyFont="1" applyFill="1" applyAlignment="1" applyProtection="1">
      <alignment vertical="center"/>
      <protection hidden="1"/>
    </xf>
    <xf numFmtId="176" fontId="6" fillId="2" borderId="0" xfId="0" applyNumberFormat="1" applyFont="1" applyFill="1" applyAlignment="1" applyProtection="1">
      <alignment horizontal="center" vertical="center"/>
      <protection hidden="1"/>
    </xf>
    <xf numFmtId="1" fontId="16" fillId="0" borderId="0" xfId="0" applyNumberFormat="1" applyFont="1" applyAlignment="1" applyProtection="1">
      <alignment vertical="center"/>
      <protection hidden="1"/>
    </xf>
    <xf numFmtId="1" fontId="6" fillId="0" borderId="0" xfId="0" applyNumberFormat="1"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protection hidden="1"/>
    </xf>
    <xf numFmtId="0" fontId="32" fillId="0" borderId="0" xfId="0" applyFont="1" applyAlignment="1" applyProtection="1">
      <alignment vertical="center"/>
      <protection hidden="1"/>
    </xf>
    <xf numFmtId="0" fontId="35" fillId="2" borderId="0" xfId="0" applyFont="1" applyFill="1" applyAlignment="1" applyProtection="1">
      <alignment vertical="center"/>
      <protection hidden="1"/>
    </xf>
    <xf numFmtId="0" fontId="35" fillId="0" borderId="0" xfId="0" applyFont="1" applyAlignment="1" applyProtection="1">
      <alignment vertical="center"/>
      <protection hidden="1"/>
    </xf>
    <xf numFmtId="0" fontId="35" fillId="0" borderId="0" xfId="0" applyFont="1" applyAlignment="1" applyProtection="1">
      <alignment horizontal="center" vertical="center"/>
      <protection hidden="1"/>
    </xf>
    <xf numFmtId="176" fontId="14" fillId="2" borderId="0" xfId="0" applyNumberFormat="1" applyFont="1" applyFill="1" applyAlignment="1" applyProtection="1">
      <alignment horizontal="center" vertical="center"/>
      <protection hidden="1"/>
    </xf>
    <xf numFmtId="0" fontId="14" fillId="0" borderId="0" xfId="0" applyFont="1" applyProtection="1">
      <protection hidden="1"/>
    </xf>
    <xf numFmtId="166" fontId="35" fillId="2" borderId="0" xfId="0" applyNumberFormat="1" applyFont="1" applyFill="1" applyAlignment="1" applyProtection="1">
      <alignment horizontal="center" vertical="center"/>
      <protection hidden="1"/>
    </xf>
    <xf numFmtId="0" fontId="46" fillId="0" borderId="0" xfId="0" applyFont="1" applyAlignment="1" applyProtection="1">
      <alignment horizontal="right"/>
      <protection hidden="1"/>
    </xf>
    <xf numFmtId="187" fontId="14" fillId="0" borderId="0" xfId="0" applyNumberFormat="1" applyFont="1" applyAlignment="1" applyProtection="1">
      <alignment vertical="center"/>
      <protection hidden="1"/>
    </xf>
    <xf numFmtId="187" fontId="6" fillId="0" borderId="0" xfId="0" applyNumberFormat="1" applyFont="1" applyAlignment="1" applyProtection="1">
      <alignment vertical="center"/>
      <protection hidden="1"/>
    </xf>
    <xf numFmtId="0" fontId="12" fillId="0" borderId="0" xfId="0" applyFont="1" applyAlignment="1" applyProtection="1">
      <alignment horizontal="center" vertical="center"/>
      <protection hidden="1"/>
    </xf>
    <xf numFmtId="186" fontId="15" fillId="0" borderId="199" xfId="0" applyNumberFormat="1" applyFont="1" applyBorder="1" applyAlignment="1" applyProtection="1">
      <alignment horizontal="center" vertical="center"/>
      <protection hidden="1"/>
    </xf>
    <xf numFmtId="186" fontId="15" fillId="0" borderId="127" xfId="0" applyNumberFormat="1" applyFont="1" applyBorder="1" applyAlignment="1" applyProtection="1">
      <alignment horizontal="center" vertical="center"/>
      <protection hidden="1"/>
    </xf>
    <xf numFmtId="186" fontId="15" fillId="0" borderId="97" xfId="0" applyNumberFormat="1" applyFont="1" applyBorder="1" applyAlignment="1" applyProtection="1">
      <alignment horizontal="center" vertical="center"/>
      <protection hidden="1"/>
    </xf>
    <xf numFmtId="186" fontId="5" fillId="11" borderId="180" xfId="0" applyNumberFormat="1" applyFont="1" applyFill="1" applyBorder="1" applyAlignment="1" applyProtection="1">
      <alignment horizontal="center" vertical="center"/>
      <protection hidden="1"/>
    </xf>
    <xf numFmtId="188" fontId="39" fillId="2" borderId="161" xfId="0" applyNumberFormat="1" applyFont="1" applyFill="1" applyBorder="1" applyAlignment="1" applyProtection="1">
      <alignment horizontal="center" vertical="center"/>
      <protection hidden="1"/>
    </xf>
    <xf numFmtId="174" fontId="39" fillId="2" borderId="208" xfId="0" applyNumberFormat="1" applyFont="1" applyFill="1" applyBorder="1" applyAlignment="1" applyProtection="1">
      <alignment horizontal="center" vertical="center"/>
      <protection hidden="1"/>
    </xf>
    <xf numFmtId="0" fontId="22" fillId="7" borderId="243" xfId="0" applyFont="1" applyFill="1" applyBorder="1" applyAlignment="1" applyProtection="1">
      <alignment horizontal="center" vertical="center"/>
      <protection hidden="1"/>
    </xf>
    <xf numFmtId="0" fontId="20" fillId="7" borderId="244" xfId="0" applyFont="1" applyFill="1" applyBorder="1" applyAlignment="1" applyProtection="1">
      <alignment horizontal="left" vertical="center" indent="1"/>
      <protection hidden="1"/>
    </xf>
    <xf numFmtId="0" fontId="22" fillId="7" borderId="245" xfId="0" applyFont="1" applyFill="1" applyBorder="1" applyAlignment="1" applyProtection="1">
      <alignment horizontal="center" vertical="center"/>
      <protection hidden="1"/>
    </xf>
    <xf numFmtId="0" fontId="20" fillId="7" borderId="246" xfId="0" applyFont="1" applyFill="1" applyBorder="1" applyAlignment="1" applyProtection="1">
      <alignment horizontal="left" vertical="center" indent="1"/>
      <protection hidden="1"/>
    </xf>
    <xf numFmtId="0" fontId="12" fillId="0" borderId="0" xfId="0" applyFont="1" applyAlignment="1" applyProtection="1">
      <alignment vertical="center" wrapText="1"/>
      <protection hidden="1"/>
    </xf>
    <xf numFmtId="0" fontId="52" fillId="0" borderId="0" xfId="0" applyFont="1" applyAlignment="1" applyProtection="1">
      <alignment vertical="center"/>
      <protection hidden="1"/>
    </xf>
    <xf numFmtId="2" fontId="12" fillId="0" borderId="0" xfId="0" applyNumberFormat="1" applyFont="1" applyAlignment="1" applyProtection="1">
      <alignment horizontal="center" vertical="center"/>
      <protection hidden="1"/>
    </xf>
    <xf numFmtId="1" fontId="12" fillId="0" borderId="0" xfId="0" applyNumberFormat="1"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176" fontId="12" fillId="2" borderId="0" xfId="0" applyNumberFormat="1" applyFont="1" applyFill="1" applyAlignment="1" applyProtection="1">
      <alignment horizontal="center" vertical="center"/>
      <protection hidden="1"/>
    </xf>
    <xf numFmtId="0" fontId="12" fillId="0" borderId="0" xfId="0" applyFont="1" applyProtection="1">
      <protection hidden="1"/>
    </xf>
    <xf numFmtId="0" fontId="12" fillId="0" borderId="0" xfId="0" applyFont="1" applyAlignment="1" applyProtection="1">
      <alignment horizontal="right" vertical="center"/>
      <protection hidden="1"/>
    </xf>
    <xf numFmtId="171" fontId="12" fillId="0" borderId="0" xfId="0" applyNumberFormat="1" applyFont="1" applyAlignment="1" applyProtection="1">
      <alignment horizontal="center" vertical="center"/>
      <protection hidden="1"/>
    </xf>
    <xf numFmtId="0" fontId="52" fillId="0" borderId="0" xfId="0" applyFont="1" applyAlignment="1" applyProtection="1">
      <alignment horizontal="right" vertical="center"/>
      <protection hidden="1"/>
    </xf>
    <xf numFmtId="0" fontId="52" fillId="0" borderId="0" xfId="0" applyFont="1" applyAlignment="1" applyProtection="1">
      <alignment horizontal="right"/>
      <protection hidden="1"/>
    </xf>
    <xf numFmtId="0" fontId="12" fillId="2" borderId="0" xfId="0" applyFont="1" applyFill="1" applyAlignment="1" applyProtection="1">
      <alignment horizontal="right" vertical="center" indent="1"/>
      <protection hidden="1"/>
    </xf>
    <xf numFmtId="0" fontId="12" fillId="2" borderId="0" xfId="0" applyFont="1" applyFill="1" applyAlignment="1" applyProtection="1">
      <alignment vertical="center"/>
      <protection hidden="1"/>
    </xf>
    <xf numFmtId="2" fontId="12" fillId="2" borderId="0" xfId="0" applyNumberFormat="1" applyFont="1" applyFill="1" applyAlignment="1" applyProtection="1">
      <alignment horizontal="center" vertical="center"/>
      <protection hidden="1"/>
    </xf>
    <xf numFmtId="0" fontId="12" fillId="2" borderId="0" xfId="0" applyFont="1" applyFill="1" applyAlignment="1" applyProtection="1">
      <alignment horizontal="right" vertical="center" wrapText="1" indent="1"/>
      <protection hidden="1"/>
    </xf>
    <xf numFmtId="0" fontId="12" fillId="2" borderId="0" xfId="0" applyFont="1" applyFill="1" applyAlignment="1" applyProtection="1">
      <alignment vertical="center" wrapText="1"/>
      <protection hidden="1"/>
    </xf>
    <xf numFmtId="164" fontId="12" fillId="2" borderId="0" xfId="0" applyNumberFormat="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49" fillId="2" borderId="0" xfId="0" applyFont="1" applyFill="1" applyAlignment="1" applyProtection="1">
      <alignment horizontal="center" vertical="center" wrapText="1"/>
      <protection hidden="1"/>
    </xf>
    <xf numFmtId="0" fontId="50" fillId="2" borderId="0" xfId="0" applyFont="1" applyFill="1" applyAlignment="1" applyProtection="1">
      <alignment vertical="center"/>
      <protection hidden="1"/>
    </xf>
    <xf numFmtId="166" fontId="50" fillId="2" borderId="0" xfId="0" applyNumberFormat="1" applyFont="1" applyFill="1" applyAlignment="1" applyProtection="1">
      <alignment horizontal="center" vertical="center"/>
      <protection hidden="1"/>
    </xf>
    <xf numFmtId="0" fontId="41" fillId="0" borderId="0" xfId="0" applyFont="1" applyAlignment="1" applyProtection="1">
      <alignment horizontal="right" vertical="center"/>
      <protection hidden="1"/>
    </xf>
    <xf numFmtId="0" fontId="39" fillId="2" borderId="0" xfId="0" applyFont="1" applyFill="1" applyAlignment="1" applyProtection="1">
      <alignment horizontal="center" vertical="center"/>
      <protection hidden="1"/>
    </xf>
    <xf numFmtId="1" fontId="39" fillId="0" borderId="0" xfId="0" applyNumberFormat="1" applyFont="1" applyAlignment="1" applyProtection="1">
      <alignment horizontal="center" vertical="center"/>
      <protection hidden="1"/>
    </xf>
    <xf numFmtId="0" fontId="15" fillId="2" borderId="0" xfId="0" applyFont="1" applyFill="1" applyAlignment="1" applyProtection="1">
      <alignment vertical="center"/>
      <protection hidden="1"/>
    </xf>
    <xf numFmtId="0" fontId="15" fillId="2" borderId="0" xfId="0" applyFont="1" applyFill="1" applyAlignment="1" applyProtection="1">
      <alignment horizontal="center" vertical="center"/>
      <protection hidden="1"/>
    </xf>
    <xf numFmtId="0" fontId="41" fillId="0" borderId="0" xfId="0" applyFont="1" applyAlignment="1" applyProtection="1">
      <alignment vertical="center"/>
      <protection hidden="1"/>
    </xf>
    <xf numFmtId="176" fontId="39" fillId="2" borderId="0" xfId="0" applyNumberFormat="1" applyFont="1" applyFill="1" applyAlignment="1" applyProtection="1">
      <alignment horizontal="center" vertical="center"/>
      <protection hidden="1"/>
    </xf>
    <xf numFmtId="0" fontId="39" fillId="0" borderId="0" xfId="0" applyFont="1" applyAlignment="1" applyProtection="1">
      <alignment horizontal="right" vertical="center"/>
      <protection hidden="1"/>
    </xf>
    <xf numFmtId="166" fontId="15" fillId="2" borderId="0" xfId="0" applyNumberFormat="1" applyFont="1" applyFill="1" applyAlignment="1" applyProtection="1">
      <alignment horizontal="center" vertical="center"/>
      <protection hidden="1"/>
    </xf>
    <xf numFmtId="171" fontId="39" fillId="0" borderId="0" xfId="0" applyNumberFormat="1" applyFont="1" applyAlignment="1" applyProtection="1">
      <alignment horizontal="center" vertical="center"/>
      <protection hidden="1"/>
    </xf>
    <xf numFmtId="1" fontId="39" fillId="0" borderId="0" xfId="0" applyNumberFormat="1" applyFont="1" applyAlignment="1" applyProtection="1">
      <alignment vertical="center"/>
      <protection hidden="1"/>
    </xf>
    <xf numFmtId="0" fontId="22" fillId="7" borderId="248" xfId="0" applyFont="1" applyFill="1" applyBorder="1" applyAlignment="1" applyProtection="1">
      <alignment horizontal="center" vertical="center"/>
      <protection hidden="1"/>
    </xf>
    <xf numFmtId="0" fontId="20" fillId="7" borderId="249" xfId="0" applyFont="1" applyFill="1" applyBorder="1" applyAlignment="1" applyProtection="1">
      <alignment horizontal="left" vertical="center" indent="1"/>
      <protection hidden="1"/>
    </xf>
    <xf numFmtId="0" fontId="22" fillId="7" borderId="247" xfId="0" applyFont="1" applyFill="1" applyBorder="1" applyAlignment="1" applyProtection="1">
      <alignment horizontal="center" vertical="center"/>
      <protection hidden="1"/>
    </xf>
    <xf numFmtId="0" fontId="20" fillId="7" borderId="247" xfId="0" applyFont="1" applyFill="1" applyBorder="1" applyAlignment="1" applyProtection="1">
      <alignment horizontal="center" vertical="center"/>
      <protection hidden="1"/>
    </xf>
    <xf numFmtId="0" fontId="9" fillId="8" borderId="34" xfId="0" applyFont="1" applyFill="1" applyBorder="1" applyAlignment="1" applyProtection="1">
      <alignment horizontal="center" vertical="center" wrapText="1"/>
      <protection hidden="1"/>
    </xf>
    <xf numFmtId="0" fontId="9" fillId="8" borderId="35" xfId="0" applyFont="1" applyFill="1" applyBorder="1" applyAlignment="1" applyProtection="1">
      <alignment horizontal="center" vertical="center"/>
      <protection hidden="1"/>
    </xf>
    <xf numFmtId="0" fontId="9" fillId="8" borderId="37" xfId="0" applyFont="1" applyFill="1" applyBorder="1" applyAlignment="1" applyProtection="1">
      <alignment horizontal="center" vertical="center"/>
      <protection hidden="1"/>
    </xf>
    <xf numFmtId="0" fontId="9" fillId="8" borderId="38" xfId="0" applyFont="1" applyFill="1" applyBorder="1" applyAlignment="1" applyProtection="1">
      <alignment horizontal="center" vertical="center"/>
      <protection hidden="1"/>
    </xf>
    <xf numFmtId="0" fontId="25" fillId="6" borderId="50" xfId="0" applyFont="1" applyFill="1" applyBorder="1" applyAlignment="1" applyProtection="1">
      <alignment horizontal="center" vertical="center" wrapText="1"/>
      <protection hidden="1"/>
    </xf>
    <xf numFmtId="0" fontId="25" fillId="6" borderId="51" xfId="0" applyFont="1" applyFill="1" applyBorder="1" applyAlignment="1" applyProtection="1">
      <alignment horizontal="center" vertical="center" wrapText="1"/>
      <protection hidden="1"/>
    </xf>
    <xf numFmtId="0" fontId="26" fillId="10" borderId="41" xfId="0" applyFont="1" applyFill="1" applyBorder="1" applyAlignment="1" applyProtection="1">
      <alignment horizontal="left" vertical="justify" wrapText="1" indent="7"/>
      <protection hidden="1"/>
    </xf>
    <xf numFmtId="0" fontId="26" fillId="10" borderId="42" xfId="0" applyFont="1" applyFill="1" applyBorder="1" applyAlignment="1" applyProtection="1">
      <alignment horizontal="left" vertical="justify" wrapText="1" indent="7"/>
      <protection hidden="1"/>
    </xf>
    <xf numFmtId="0" fontId="5" fillId="8" borderId="39" xfId="0" applyFont="1" applyFill="1" applyBorder="1" applyAlignment="1" applyProtection="1">
      <alignment horizontal="center" vertical="center"/>
      <protection hidden="1"/>
    </xf>
    <xf numFmtId="0" fontId="5" fillId="8" borderId="40" xfId="0" applyFont="1" applyFill="1" applyBorder="1" applyAlignment="1" applyProtection="1">
      <alignment horizontal="center" vertical="center"/>
      <protection hidden="1"/>
    </xf>
    <xf numFmtId="0" fontId="23" fillId="3" borderId="37" xfId="0" applyFont="1" applyFill="1" applyBorder="1" applyAlignment="1" applyProtection="1">
      <alignment horizontal="center" vertical="center" wrapText="1"/>
      <protection hidden="1"/>
    </xf>
    <xf numFmtId="0" fontId="23" fillId="3" borderId="38" xfId="0" applyFont="1" applyFill="1" applyBorder="1" applyAlignment="1" applyProtection="1">
      <alignment horizontal="center" vertical="center"/>
      <protection hidden="1"/>
    </xf>
    <xf numFmtId="0" fontId="24" fillId="5" borderId="48" xfId="0" applyFont="1" applyFill="1" applyBorder="1" applyAlignment="1" applyProtection="1">
      <alignment horizontal="center" vertical="center" wrapText="1"/>
      <protection hidden="1"/>
    </xf>
    <xf numFmtId="0" fontId="24" fillId="5" borderId="49" xfId="0" applyFont="1" applyFill="1" applyBorder="1" applyAlignment="1" applyProtection="1">
      <alignment horizontal="center" vertical="center" wrapText="1"/>
      <protection hidden="1"/>
    </xf>
    <xf numFmtId="0" fontId="20" fillId="9" borderId="39" xfId="0" applyFont="1" applyFill="1" applyBorder="1" applyAlignment="1" applyProtection="1">
      <alignment horizontal="justify" vertical="justify" wrapText="1"/>
      <protection hidden="1"/>
    </xf>
    <xf numFmtId="0" fontId="20" fillId="9" borderId="40" xfId="0" applyFont="1" applyFill="1" applyBorder="1" applyAlignment="1" applyProtection="1">
      <alignment horizontal="justify" vertical="justify" wrapText="1"/>
      <protection hidden="1"/>
    </xf>
    <xf numFmtId="0" fontId="20" fillId="7" borderId="37" xfId="0" applyFont="1" applyFill="1" applyBorder="1" applyAlignment="1" applyProtection="1">
      <alignment horizontal="justify" vertical="top" wrapText="1"/>
      <protection hidden="1"/>
    </xf>
    <xf numFmtId="0" fontId="20" fillId="7" borderId="38" xfId="0" applyFont="1" applyFill="1" applyBorder="1" applyAlignment="1" applyProtection="1">
      <alignment horizontal="justify" vertical="top"/>
      <protection hidden="1"/>
    </xf>
    <xf numFmtId="0" fontId="31" fillId="11" borderId="19" xfId="0" applyFont="1" applyFill="1" applyBorder="1" applyAlignment="1">
      <alignment horizontal="center" vertical="center"/>
    </xf>
    <xf numFmtId="0" fontId="31" fillId="11" borderId="11" xfId="0" applyFont="1" applyFill="1" applyBorder="1" applyAlignment="1">
      <alignment horizontal="center" vertical="center"/>
    </xf>
    <xf numFmtId="0" fontId="31" fillId="11" borderId="26" xfId="0" applyFont="1" applyFill="1" applyBorder="1" applyAlignment="1">
      <alignment horizontal="center" vertical="center"/>
    </xf>
    <xf numFmtId="0" fontId="31" fillId="11" borderId="12" xfId="0" applyFont="1" applyFill="1" applyBorder="1" applyAlignment="1">
      <alignment horizontal="center" vertical="center"/>
    </xf>
    <xf numFmtId="0" fontId="31" fillId="11" borderId="13" xfId="0" applyFont="1" applyFill="1" applyBorder="1" applyAlignment="1">
      <alignment horizontal="center" vertical="center"/>
    </xf>
    <xf numFmtId="0" fontId="31" fillId="11" borderId="14" xfId="0" applyFont="1" applyFill="1" applyBorder="1" applyAlignment="1">
      <alignment horizontal="center" vertical="center"/>
    </xf>
    <xf numFmtId="0" fontId="18" fillId="2" borderId="0" xfId="0" applyFont="1" applyFill="1" applyAlignment="1" applyProtection="1">
      <alignment horizontal="center" vertical="center"/>
      <protection hidden="1"/>
    </xf>
    <xf numFmtId="0" fontId="31" fillId="11" borderId="163" xfId="0" applyFont="1" applyFill="1" applyBorder="1" applyAlignment="1" applyProtection="1">
      <alignment horizontal="center" vertical="center"/>
      <protection hidden="1"/>
    </xf>
    <xf numFmtId="0" fontId="31" fillId="11" borderId="164" xfId="0" applyFont="1" applyFill="1" applyBorder="1" applyAlignment="1" applyProtection="1">
      <alignment horizontal="center" vertical="center"/>
      <protection hidden="1"/>
    </xf>
    <xf numFmtId="0" fontId="31" fillId="11" borderId="165" xfId="0" applyFont="1" applyFill="1" applyBorder="1" applyAlignment="1" applyProtection="1">
      <alignment horizontal="center" vertical="center"/>
      <protection hidden="1"/>
    </xf>
    <xf numFmtId="0" fontId="45" fillId="2" borderId="0" xfId="0" applyFont="1" applyFill="1" applyAlignment="1" applyProtection="1">
      <alignment horizontal="right" vertical="center"/>
      <protection hidden="1"/>
    </xf>
    <xf numFmtId="0" fontId="20" fillId="2" borderId="231" xfId="0" applyFont="1" applyFill="1" applyBorder="1" applyAlignment="1" applyProtection="1">
      <alignment horizontal="left" vertical="center"/>
      <protection hidden="1"/>
    </xf>
    <xf numFmtId="0" fontId="20" fillId="2" borderId="0" xfId="0" applyFont="1" applyFill="1" applyAlignment="1" applyProtection="1">
      <alignment horizontal="left" vertical="center"/>
      <protection hidden="1"/>
    </xf>
    <xf numFmtId="0" fontId="5" fillId="11" borderId="86" xfId="0" applyFont="1" applyFill="1" applyBorder="1" applyAlignment="1" applyProtection="1">
      <alignment horizontal="center" vertical="center"/>
      <protection hidden="1"/>
    </xf>
    <xf numFmtId="0" fontId="5" fillId="11" borderId="87" xfId="0" applyFont="1" applyFill="1" applyBorder="1" applyAlignment="1" applyProtection="1">
      <alignment horizontal="center" vertical="center"/>
      <protection hidden="1"/>
    </xf>
    <xf numFmtId="0" fontId="2" fillId="0" borderId="0" xfId="0" applyFont="1" applyAlignment="1" applyProtection="1">
      <alignment horizontal="right" vertical="center"/>
      <protection hidden="1"/>
    </xf>
    <xf numFmtId="0" fontId="1" fillId="2" borderId="92" xfId="0" applyFont="1" applyFill="1" applyBorder="1" applyAlignment="1" applyProtection="1">
      <alignment horizontal="right" vertical="center" indent="1"/>
      <protection hidden="1"/>
    </xf>
    <xf numFmtId="0" fontId="1" fillId="2" borderId="93" xfId="0" applyFont="1" applyFill="1" applyBorder="1" applyAlignment="1" applyProtection="1">
      <alignment horizontal="right" vertical="center" indent="1"/>
      <protection hidden="1"/>
    </xf>
    <xf numFmtId="0" fontId="39" fillId="0" borderId="95" xfId="0" applyFont="1" applyBorder="1" applyAlignment="1" applyProtection="1">
      <alignment horizontal="right" vertical="center" indent="1"/>
      <protection hidden="1"/>
    </xf>
    <xf numFmtId="0" fontId="39" fillId="0" borderId="96" xfId="0" applyFont="1" applyBorder="1" applyAlignment="1" applyProtection="1">
      <alignment horizontal="right" vertical="center" indent="1"/>
      <protection hidden="1"/>
    </xf>
    <xf numFmtId="0" fontId="1" fillId="0" borderId="0" xfId="0" applyFont="1" applyAlignment="1" applyProtection="1">
      <alignment horizontal="center" vertical="center"/>
      <protection hidden="1"/>
    </xf>
    <xf numFmtId="0" fontId="39" fillId="0" borderId="169" xfId="0" applyFont="1" applyBorder="1" applyAlignment="1" applyProtection="1">
      <alignment horizontal="center" vertical="center"/>
      <protection hidden="1"/>
    </xf>
    <xf numFmtId="0" fontId="39" fillId="0" borderId="203" xfId="0" applyFont="1" applyBorder="1" applyAlignment="1" applyProtection="1">
      <alignment horizontal="center" vertical="center"/>
      <protection hidden="1"/>
    </xf>
    <xf numFmtId="0" fontId="3" fillId="11" borderId="110" xfId="0" applyFont="1" applyFill="1" applyBorder="1" applyAlignment="1" applyProtection="1">
      <alignment horizontal="center" vertical="center"/>
      <protection hidden="1"/>
    </xf>
    <xf numFmtId="0" fontId="3" fillId="11" borderId="140" xfId="0" applyFont="1" applyFill="1" applyBorder="1" applyAlignment="1" applyProtection="1">
      <alignment horizontal="center" vertical="center"/>
      <protection hidden="1"/>
    </xf>
    <xf numFmtId="0" fontId="13" fillId="0" borderId="162" xfId="0" applyFont="1" applyBorder="1" applyAlignment="1" applyProtection="1">
      <alignment horizontal="center" vertical="center"/>
      <protection hidden="1"/>
    </xf>
    <xf numFmtId="0" fontId="13" fillId="0" borderId="117" xfId="0" applyFont="1" applyBorder="1" applyAlignment="1" applyProtection="1">
      <alignment horizontal="center" vertical="center"/>
      <protection hidden="1"/>
    </xf>
    <xf numFmtId="0" fontId="1" fillId="2" borderId="86" xfId="0" applyFont="1" applyFill="1" applyBorder="1" applyAlignment="1" applyProtection="1">
      <alignment horizontal="right" vertical="center" indent="1"/>
      <protection hidden="1"/>
    </xf>
    <xf numFmtId="0" fontId="1" fillId="2" borderId="87" xfId="0" applyFont="1" applyFill="1" applyBorder="1" applyAlignment="1" applyProtection="1">
      <alignment horizontal="right" vertical="center" indent="1"/>
      <protection hidden="1"/>
    </xf>
    <xf numFmtId="4" fontId="39" fillId="2" borderId="65" xfId="0" applyNumberFormat="1" applyFont="1" applyFill="1" applyBorder="1" applyAlignment="1" applyProtection="1">
      <alignment horizontal="center" vertical="center"/>
      <protection hidden="1"/>
    </xf>
    <xf numFmtId="4" fontId="39" fillId="2" borderId="66" xfId="0" applyNumberFormat="1" applyFont="1" applyFill="1" applyBorder="1" applyAlignment="1" applyProtection="1">
      <alignment horizontal="center" vertical="center"/>
      <protection hidden="1"/>
    </xf>
    <xf numFmtId="4" fontId="39" fillId="2" borderId="67" xfId="0" applyNumberFormat="1" applyFont="1" applyFill="1" applyBorder="1" applyAlignment="1" applyProtection="1">
      <alignment horizontal="center" vertical="center"/>
      <protection hidden="1"/>
    </xf>
    <xf numFmtId="0" fontId="5" fillId="11" borderId="163" xfId="0" applyFont="1" applyFill="1" applyBorder="1" applyAlignment="1" applyProtection="1">
      <alignment horizontal="center" vertical="center"/>
      <protection hidden="1"/>
    </xf>
    <xf numFmtId="0" fontId="5" fillId="11" borderId="164"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0" xfId="0" applyFont="1" applyFill="1" applyAlignment="1" applyProtection="1">
      <alignment horizontal="center" vertical="center"/>
      <protection hidden="1"/>
    </xf>
    <xf numFmtId="0" fontId="39" fillId="0" borderId="92" xfId="0" applyFont="1" applyBorder="1" applyAlignment="1" applyProtection="1">
      <alignment horizontal="right" vertical="center" indent="1"/>
      <protection hidden="1"/>
    </xf>
    <xf numFmtId="0" fontId="39" fillId="0" borderId="93" xfId="0" applyFont="1" applyBorder="1" applyAlignment="1" applyProtection="1">
      <alignment horizontal="right" vertical="center" indent="1"/>
      <protection hidden="1"/>
    </xf>
    <xf numFmtId="0" fontId="5" fillId="11" borderId="107" xfId="0" applyFont="1" applyFill="1" applyBorder="1" applyAlignment="1" applyProtection="1">
      <alignment horizontal="center" vertical="center"/>
      <protection hidden="1"/>
    </xf>
    <xf numFmtId="0" fontId="5" fillId="11" borderId="108" xfId="0" applyFont="1" applyFill="1" applyBorder="1" applyAlignment="1" applyProtection="1">
      <alignment horizontal="center" vertical="center"/>
      <protection hidden="1"/>
    </xf>
    <xf numFmtId="0" fontId="5" fillId="11" borderId="109" xfId="0" applyFont="1" applyFill="1" applyBorder="1" applyAlignment="1" applyProtection="1">
      <alignment horizontal="center" vertical="center"/>
      <protection hidden="1"/>
    </xf>
    <xf numFmtId="0" fontId="50" fillId="9" borderId="233" xfId="0" applyFont="1" applyFill="1" applyBorder="1" applyAlignment="1" applyProtection="1">
      <alignment horizontal="center" vertical="center"/>
      <protection hidden="1"/>
    </xf>
    <xf numFmtId="0" fontId="50" fillId="9" borderId="234" xfId="0" applyFont="1" applyFill="1" applyBorder="1" applyAlignment="1" applyProtection="1">
      <alignment horizontal="center" vertical="center"/>
      <protection hidden="1"/>
    </xf>
    <xf numFmtId="0" fontId="39" fillId="0" borderId="98" xfId="0" applyFont="1" applyBorder="1" applyAlignment="1" applyProtection="1">
      <alignment horizontal="right" vertical="center"/>
      <protection hidden="1"/>
    </xf>
    <xf numFmtId="0" fontId="39" fillId="0" borderId="232" xfId="0" applyFont="1" applyBorder="1" applyAlignment="1" applyProtection="1">
      <alignment horizontal="right" vertical="center"/>
      <protection hidden="1"/>
    </xf>
    <xf numFmtId="0" fontId="39" fillId="0" borderId="93" xfId="0" applyFont="1" applyBorder="1" applyAlignment="1" applyProtection="1">
      <alignment horizontal="left" vertical="center" indent="1"/>
      <protection hidden="1"/>
    </xf>
    <xf numFmtId="0" fontId="39" fillId="0" borderId="94" xfId="0" applyFont="1" applyBorder="1" applyAlignment="1" applyProtection="1">
      <alignment horizontal="left" vertical="center" indent="1"/>
      <protection hidden="1"/>
    </xf>
    <xf numFmtId="0" fontId="2" fillId="2" borderId="89" xfId="0" applyFont="1" applyFill="1" applyBorder="1" applyAlignment="1" applyProtection="1">
      <alignment horizontal="center" vertical="center"/>
      <protection hidden="1"/>
    </xf>
    <xf numFmtId="0" fontId="2" fillId="2" borderId="91" xfId="0" applyFont="1" applyFill="1" applyBorder="1" applyAlignment="1" applyProtection="1">
      <alignment horizontal="center" vertical="center"/>
      <protection hidden="1"/>
    </xf>
    <xf numFmtId="0" fontId="39" fillId="0" borderId="110" xfId="0" applyFont="1" applyBorder="1" applyAlignment="1" applyProtection="1">
      <alignment horizontal="right" vertical="center"/>
      <protection hidden="1"/>
    </xf>
    <xf numFmtId="0" fontId="39" fillId="0" borderId="43" xfId="0" applyFont="1" applyBorder="1" applyAlignment="1" applyProtection="1">
      <alignment horizontal="right" vertical="center"/>
      <protection hidden="1"/>
    </xf>
    <xf numFmtId="22" fontId="10" fillId="0" borderId="79" xfId="0" applyNumberFormat="1" applyFont="1" applyBorder="1" applyAlignment="1" applyProtection="1">
      <alignment horizontal="center" vertical="center"/>
      <protection hidden="1"/>
    </xf>
    <xf numFmtId="22" fontId="10" fillId="0" borderId="80" xfId="0" applyNumberFormat="1" applyFont="1" applyBorder="1" applyAlignment="1" applyProtection="1">
      <alignment horizontal="center" vertical="center"/>
      <protection hidden="1"/>
    </xf>
    <xf numFmtId="0" fontId="39" fillId="0" borderId="23" xfId="0" applyFont="1" applyBorder="1" applyAlignment="1" applyProtection="1">
      <alignment horizontal="center" vertical="center"/>
      <protection hidden="1"/>
    </xf>
    <xf numFmtId="0" fontId="39" fillId="0" borderId="111" xfId="0" applyFont="1" applyBorder="1" applyAlignment="1" applyProtection="1">
      <alignment horizontal="center" vertical="center"/>
      <protection hidden="1"/>
    </xf>
    <xf numFmtId="0" fontId="39" fillId="0" borderId="161" xfId="0" applyFont="1" applyBorder="1" applyAlignment="1" applyProtection="1">
      <alignment horizontal="left" vertical="center" indent="1"/>
      <protection hidden="1"/>
    </xf>
    <xf numFmtId="0" fontId="39" fillId="0" borderId="157" xfId="0" applyFont="1" applyBorder="1" applyAlignment="1" applyProtection="1">
      <alignment horizontal="left" vertical="center" indent="1"/>
      <protection hidden="1"/>
    </xf>
    <xf numFmtId="0" fontId="3" fillId="11" borderId="57" xfId="0" applyFont="1" applyFill="1" applyBorder="1" applyAlignment="1" applyProtection="1">
      <alignment horizontal="center" vertical="center"/>
      <protection hidden="1"/>
    </xf>
    <xf numFmtId="0" fontId="3" fillId="11" borderId="58" xfId="0" applyFont="1" applyFill="1" applyBorder="1" applyAlignment="1" applyProtection="1">
      <alignment horizontal="center" vertical="center"/>
      <protection hidden="1"/>
    </xf>
    <xf numFmtId="0" fontId="3" fillId="11" borderId="59" xfId="0" applyFont="1" applyFill="1" applyBorder="1" applyAlignment="1" applyProtection="1">
      <alignment horizontal="center" vertical="center"/>
      <protection hidden="1"/>
    </xf>
    <xf numFmtId="0" fontId="3" fillId="11" borderId="141" xfId="0" applyFont="1" applyFill="1" applyBorder="1" applyAlignment="1" applyProtection="1">
      <alignment horizontal="center" vertical="center"/>
      <protection hidden="1"/>
    </xf>
    <xf numFmtId="0" fontId="3" fillId="11" borderId="142" xfId="0" applyFont="1" applyFill="1" applyBorder="1" applyAlignment="1" applyProtection="1">
      <alignment horizontal="center" vertical="center"/>
      <protection hidden="1"/>
    </xf>
    <xf numFmtId="0" fontId="3" fillId="11" borderId="143" xfId="0" applyFont="1" applyFill="1" applyBorder="1" applyAlignment="1" applyProtection="1">
      <alignment horizontal="center" vertical="center"/>
      <protection hidden="1"/>
    </xf>
    <xf numFmtId="0" fontId="41" fillId="0" borderId="0" xfId="0" applyFont="1" applyAlignment="1" applyProtection="1">
      <alignment horizontal="right" vertical="center" indent="1"/>
      <protection hidden="1"/>
    </xf>
    <xf numFmtId="14" fontId="39" fillId="0" borderId="0" xfId="0" applyNumberFormat="1" applyFont="1" applyAlignment="1" applyProtection="1">
      <alignment horizontal="left" vertical="center"/>
      <protection hidden="1"/>
    </xf>
    <xf numFmtId="0" fontId="39" fillId="0" borderId="0" xfId="0" applyFont="1" applyAlignment="1" applyProtection="1">
      <alignment horizontal="left" vertical="center"/>
      <protection hidden="1"/>
    </xf>
    <xf numFmtId="22" fontId="39"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horizontal="right" vertical="center"/>
      <protection hidden="1"/>
    </xf>
    <xf numFmtId="169" fontId="39" fillId="12" borderId="52" xfId="0" applyNumberFormat="1" applyFont="1" applyFill="1" applyBorder="1" applyAlignment="1" applyProtection="1">
      <alignment horizontal="center" vertical="center"/>
      <protection locked="0"/>
    </xf>
    <xf numFmtId="169" fontId="39" fillId="12" borderId="53" xfId="0" applyNumberFormat="1" applyFont="1" applyFill="1" applyBorder="1" applyAlignment="1" applyProtection="1">
      <alignment horizontal="center" vertical="center"/>
      <protection locked="0"/>
    </xf>
    <xf numFmtId="169" fontId="39" fillId="12" borderId="54" xfId="0" applyNumberFormat="1" applyFont="1" applyFill="1" applyBorder="1" applyAlignment="1" applyProtection="1">
      <alignment horizontal="center" vertical="center"/>
      <protection locked="0"/>
    </xf>
    <xf numFmtId="170" fontId="39" fillId="12" borderId="52" xfId="0" applyNumberFormat="1" applyFont="1" applyFill="1" applyBorder="1" applyAlignment="1" applyProtection="1">
      <alignment horizontal="center" vertical="center"/>
      <protection locked="0"/>
    </xf>
    <xf numFmtId="170" fontId="39" fillId="12" borderId="54" xfId="0" applyNumberFormat="1" applyFont="1" applyFill="1" applyBorder="1" applyAlignment="1" applyProtection="1">
      <alignment horizontal="center" vertical="center"/>
      <protection locked="0"/>
    </xf>
    <xf numFmtId="0" fontId="39" fillId="12" borderId="52" xfId="0" applyFont="1" applyFill="1" applyBorder="1" applyAlignment="1" applyProtection="1">
      <alignment horizontal="center" vertical="center"/>
      <protection locked="0"/>
    </xf>
    <xf numFmtId="0" fontId="39" fillId="12" borderId="54" xfId="0" applyFont="1" applyFill="1" applyBorder="1" applyAlignment="1" applyProtection="1">
      <alignment horizontal="center" vertical="center"/>
      <protection locked="0"/>
    </xf>
    <xf numFmtId="173" fontId="17" fillId="0" borderId="0" xfId="0" applyNumberFormat="1" applyFont="1" applyAlignment="1" applyProtection="1">
      <alignment horizontal="center" vertical="center"/>
      <protection hidden="1"/>
    </xf>
    <xf numFmtId="0" fontId="5" fillId="11" borderId="98" xfId="0" applyFont="1" applyFill="1" applyBorder="1" applyAlignment="1" applyProtection="1">
      <alignment horizontal="center" vertical="center"/>
      <protection hidden="1"/>
    </xf>
    <xf numFmtId="0" fontId="5" fillId="11" borderId="99" xfId="0" applyFont="1" applyFill="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2" fillId="2" borderId="145" xfId="0" applyFont="1" applyFill="1" applyBorder="1" applyAlignment="1" applyProtection="1">
      <alignment horizontal="right" vertical="center" wrapText="1" indent="1"/>
      <protection hidden="1"/>
    </xf>
    <xf numFmtId="0" fontId="2" fillId="2" borderId="30" xfId="0" applyFont="1" applyFill="1" applyBorder="1" applyAlignment="1" applyProtection="1">
      <alignment horizontal="right" vertical="center" wrapText="1" indent="1"/>
      <protection hidden="1"/>
    </xf>
    <xf numFmtId="0" fontId="2" fillId="2" borderId="146" xfId="0" applyFont="1" applyFill="1" applyBorder="1" applyAlignment="1" applyProtection="1">
      <alignment horizontal="right" vertical="center" indent="1"/>
      <protection hidden="1"/>
    </xf>
    <xf numFmtId="0" fontId="2" fillId="2" borderId="44" xfId="0" applyFont="1" applyFill="1" applyBorder="1" applyAlignment="1" applyProtection="1">
      <alignment horizontal="right" vertical="center" indent="1"/>
      <protection hidden="1"/>
    </xf>
    <xf numFmtId="0" fontId="2" fillId="0" borderId="114" xfId="0" applyFont="1" applyBorder="1" applyAlignment="1" applyProtection="1">
      <alignment horizontal="right" vertical="center" indent="1"/>
      <protection hidden="1"/>
    </xf>
    <xf numFmtId="0" fontId="2" fillId="0" borderId="115" xfId="0" applyFont="1" applyBorder="1" applyAlignment="1" applyProtection="1">
      <alignment horizontal="right" vertical="center" indent="1"/>
      <protection hidden="1"/>
    </xf>
    <xf numFmtId="0" fontId="13" fillId="0" borderId="156" xfId="0" applyFont="1" applyBorder="1" applyAlignment="1" applyProtection="1">
      <alignment horizontal="center" vertical="center"/>
      <protection hidden="1"/>
    </xf>
    <xf numFmtId="0" fontId="13" fillId="0" borderId="157" xfId="0" applyFont="1" applyBorder="1" applyAlignment="1" applyProtection="1">
      <alignment horizontal="center" vertical="center"/>
      <protection hidden="1"/>
    </xf>
    <xf numFmtId="0" fontId="2" fillId="2" borderId="145" xfId="0" applyFont="1" applyFill="1" applyBorder="1" applyAlignment="1" applyProtection="1">
      <alignment horizontal="right" vertical="center" indent="1"/>
      <protection hidden="1"/>
    </xf>
    <xf numFmtId="0" fontId="2" fillId="2" borderId="30" xfId="0" applyFont="1" applyFill="1" applyBorder="1" applyAlignment="1" applyProtection="1">
      <alignment horizontal="right" vertical="center" indent="1"/>
      <protection hidden="1"/>
    </xf>
    <xf numFmtId="0" fontId="10" fillId="0" borderId="0" xfId="0" applyFont="1" applyAlignment="1" applyProtection="1">
      <alignment horizontal="right" vertical="center" indent="1"/>
      <protection hidden="1"/>
    </xf>
    <xf numFmtId="14" fontId="2" fillId="0" borderId="0" xfId="0" applyNumberFormat="1" applyFont="1" applyAlignment="1" applyProtection="1">
      <alignment horizontal="left" vertical="center"/>
      <protection hidden="1"/>
    </xf>
    <xf numFmtId="0" fontId="2" fillId="0" borderId="0" xfId="0" applyFont="1" applyAlignment="1" applyProtection="1">
      <alignment horizontal="left" vertical="center"/>
      <protection hidden="1"/>
    </xf>
    <xf numFmtId="22" fontId="2"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 fillId="0" borderId="118" xfId="0" applyFont="1" applyBorder="1" applyAlignment="1" applyProtection="1">
      <alignment horizontal="right" vertical="center" indent="1"/>
      <protection hidden="1"/>
    </xf>
    <xf numFmtId="0" fontId="2" fillId="0" borderId="22" xfId="0" applyFont="1" applyBorder="1" applyAlignment="1" applyProtection="1">
      <alignment horizontal="right" vertical="center" indent="1"/>
      <protection hidden="1"/>
    </xf>
    <xf numFmtId="0" fontId="2" fillId="2" borderId="144" xfId="0" applyFont="1" applyFill="1" applyBorder="1" applyAlignment="1" applyProtection="1">
      <alignment horizontal="right" vertical="center" indent="1"/>
      <protection hidden="1"/>
    </xf>
    <xf numFmtId="0" fontId="2" fillId="2" borderId="29" xfId="0" applyFont="1" applyFill="1" applyBorder="1" applyAlignment="1" applyProtection="1">
      <alignment horizontal="right" vertical="center" indent="1"/>
      <protection hidden="1"/>
    </xf>
    <xf numFmtId="0" fontId="4" fillId="0" borderId="110"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3" fillId="11" borderId="101" xfId="0" applyFont="1" applyFill="1" applyBorder="1" applyAlignment="1" applyProtection="1">
      <alignment horizontal="center" vertical="center"/>
      <protection hidden="1"/>
    </xf>
    <xf numFmtId="0" fontId="3" fillId="11" borderId="181" xfId="0" applyFont="1" applyFill="1" applyBorder="1" applyAlignment="1" applyProtection="1">
      <alignment horizontal="center" vertical="center"/>
      <protection hidden="1"/>
    </xf>
    <xf numFmtId="0" fontId="3" fillId="11" borderId="102" xfId="0" applyFont="1" applyFill="1" applyBorder="1" applyAlignment="1" applyProtection="1">
      <alignment horizontal="center" vertical="center"/>
      <protection hidden="1"/>
    </xf>
    <xf numFmtId="0" fontId="2" fillId="0" borderId="103" xfId="0" applyFont="1" applyBorder="1" applyAlignment="1" applyProtection="1">
      <alignment horizontal="center" vertical="center"/>
      <protection hidden="1"/>
    </xf>
    <xf numFmtId="0" fontId="2" fillId="0" borderId="104" xfId="0" applyFont="1" applyBorder="1" applyAlignment="1" applyProtection="1">
      <alignment horizontal="center" vertical="center"/>
      <protection hidden="1"/>
    </xf>
    <xf numFmtId="0" fontId="2" fillId="0" borderId="122" xfId="0" applyFont="1" applyBorder="1" applyAlignment="1" applyProtection="1">
      <alignment horizontal="right" vertical="center" indent="1"/>
      <protection hidden="1"/>
    </xf>
    <xf numFmtId="0" fontId="2" fillId="0" borderId="123" xfId="0" applyFont="1" applyBorder="1" applyAlignment="1" applyProtection="1">
      <alignment horizontal="right" vertical="center" indent="1"/>
      <protection hidden="1"/>
    </xf>
    <xf numFmtId="0" fontId="5" fillId="11" borderId="57" xfId="0" applyFont="1" applyFill="1" applyBorder="1" applyAlignment="1" applyProtection="1">
      <alignment horizontal="center" vertical="center"/>
      <protection hidden="1"/>
    </xf>
    <xf numFmtId="0" fontId="5" fillId="11" borderId="58" xfId="0" applyFont="1" applyFill="1" applyBorder="1" applyAlignment="1" applyProtection="1">
      <alignment horizontal="center" vertical="center"/>
      <protection hidden="1"/>
    </xf>
    <xf numFmtId="22" fontId="10" fillId="0" borderId="101" xfId="0" applyNumberFormat="1" applyFont="1" applyBorder="1" applyAlignment="1" applyProtection="1">
      <alignment horizontal="center" vertical="center"/>
      <protection hidden="1"/>
    </xf>
    <xf numFmtId="22" fontId="10" fillId="0" borderId="102" xfId="0" applyNumberFormat="1" applyFont="1" applyBorder="1" applyAlignment="1" applyProtection="1">
      <alignment horizontal="center" vertical="center"/>
      <protection hidden="1"/>
    </xf>
    <xf numFmtId="0" fontId="5" fillId="11" borderId="15" xfId="0" applyFont="1" applyFill="1" applyBorder="1" applyAlignment="1" applyProtection="1">
      <alignment horizontal="center" vertical="center"/>
      <protection hidden="1"/>
    </xf>
    <xf numFmtId="0" fontId="5" fillId="11" borderId="23" xfId="0" applyFont="1" applyFill="1" applyBorder="1" applyAlignment="1" applyProtection="1">
      <alignment horizontal="center" vertical="center"/>
      <protection hidden="1"/>
    </xf>
    <xf numFmtId="0" fontId="5" fillId="11" borderId="16" xfId="0" applyFont="1" applyFill="1" applyBorder="1" applyAlignment="1" applyProtection="1">
      <alignment horizontal="center" vertical="center"/>
      <protection hidden="1"/>
    </xf>
    <xf numFmtId="0" fontId="2" fillId="0" borderId="23" xfId="0" applyFont="1" applyBorder="1" applyAlignment="1" applyProtection="1">
      <alignment horizontal="center" vertical="center"/>
      <protection hidden="1"/>
    </xf>
    <xf numFmtId="0" fontId="2" fillId="0" borderId="16" xfId="0" applyFont="1" applyBorder="1" applyAlignment="1" applyProtection="1">
      <alignment horizontal="center" vertical="center"/>
      <protection hidden="1"/>
    </xf>
    <xf numFmtId="0" fontId="2" fillId="0" borderId="22" xfId="0" applyFont="1" applyBorder="1" applyAlignment="1" applyProtection="1">
      <alignment horizontal="left" vertical="center" indent="1"/>
      <protection hidden="1"/>
    </xf>
    <xf numFmtId="0" fontId="2" fillId="0" borderId="10" xfId="0" applyFont="1" applyBorder="1" applyAlignment="1" applyProtection="1">
      <alignment horizontal="left" vertical="center" indent="1"/>
      <protection hidden="1"/>
    </xf>
    <xf numFmtId="0" fontId="2" fillId="0" borderId="21" xfId="0" applyFont="1" applyBorder="1" applyAlignment="1" applyProtection="1">
      <alignment horizontal="left" vertical="center" indent="1"/>
      <protection hidden="1"/>
    </xf>
    <xf numFmtId="0" fontId="2" fillId="0" borderId="7" xfId="0" applyFont="1" applyBorder="1" applyAlignment="1" applyProtection="1">
      <alignment horizontal="left" vertical="center" indent="1"/>
      <protection hidden="1"/>
    </xf>
    <xf numFmtId="0" fontId="1" fillId="2" borderId="110" xfId="0" applyFont="1" applyFill="1" applyBorder="1" applyAlignment="1" applyProtection="1">
      <alignment horizontal="right" vertical="center" indent="1"/>
      <protection hidden="1"/>
    </xf>
    <xf numFmtId="0" fontId="1" fillId="2" borderId="43" xfId="0" applyFont="1" applyFill="1" applyBorder="1" applyAlignment="1" applyProtection="1">
      <alignment horizontal="right" vertical="center" indent="1"/>
      <protection hidden="1"/>
    </xf>
    <xf numFmtId="0" fontId="2" fillId="0" borderId="8" xfId="0" applyFont="1" applyBorder="1" applyAlignment="1" applyProtection="1">
      <alignment horizontal="right" vertical="center"/>
      <protection hidden="1"/>
    </xf>
    <xf numFmtId="0" fontId="2" fillId="0" borderId="43" xfId="0" applyFont="1" applyBorder="1" applyAlignment="1" applyProtection="1">
      <alignment horizontal="right" vertical="center"/>
      <protection hidden="1"/>
    </xf>
    <xf numFmtId="0" fontId="2" fillId="2" borderId="89" xfId="0" applyFont="1" applyFill="1" applyBorder="1" applyAlignment="1" applyProtection="1">
      <alignment horizontal="right" vertical="center" wrapText="1" indent="1"/>
      <protection hidden="1"/>
    </xf>
    <xf numFmtId="0" fontId="2" fillId="2" borderId="90" xfId="0" applyFont="1" applyFill="1" applyBorder="1" applyAlignment="1" applyProtection="1">
      <alignment horizontal="right" vertical="center" wrapText="1" indent="1"/>
      <protection hidden="1"/>
    </xf>
    <xf numFmtId="0" fontId="5" fillId="11" borderId="72" xfId="0" applyFont="1" applyFill="1" applyBorder="1" applyAlignment="1" applyProtection="1">
      <alignment horizontal="center" vertical="center"/>
      <protection hidden="1"/>
    </xf>
    <xf numFmtId="0" fontId="5" fillId="11" borderId="171" xfId="0" applyFont="1" applyFill="1" applyBorder="1" applyAlignment="1" applyProtection="1">
      <alignment horizontal="center" vertical="center"/>
      <protection hidden="1"/>
    </xf>
    <xf numFmtId="0" fontId="5" fillId="11" borderId="172" xfId="0" applyFont="1" applyFill="1" applyBorder="1" applyAlignment="1" applyProtection="1">
      <alignment horizontal="center" vertical="center"/>
      <protection hidden="1"/>
    </xf>
    <xf numFmtId="0" fontId="2" fillId="2" borderId="89" xfId="0" applyFont="1" applyFill="1" applyBorder="1" applyAlignment="1" applyProtection="1">
      <alignment horizontal="right" vertical="center" indent="1"/>
      <protection hidden="1"/>
    </xf>
    <xf numFmtId="0" fontId="2" fillId="2" borderId="90" xfId="0" applyFont="1" applyFill="1" applyBorder="1" applyAlignment="1" applyProtection="1">
      <alignment horizontal="right" vertical="center" indent="1"/>
      <protection hidden="1"/>
    </xf>
    <xf numFmtId="0" fontId="2" fillId="0" borderId="171" xfId="0" applyFont="1" applyBorder="1" applyAlignment="1" applyProtection="1">
      <alignment horizontal="center" vertical="center"/>
      <protection hidden="1"/>
    </xf>
    <xf numFmtId="0" fontId="2" fillId="0" borderId="172" xfId="0" applyFont="1" applyBorder="1" applyAlignment="1" applyProtection="1">
      <alignment horizontal="center" vertical="center"/>
      <protection hidden="1"/>
    </xf>
    <xf numFmtId="0" fontId="2" fillId="0" borderId="87" xfId="0" applyFont="1" applyBorder="1" applyAlignment="1" applyProtection="1">
      <alignment horizontal="left" vertical="center" indent="1"/>
      <protection hidden="1"/>
    </xf>
    <xf numFmtId="0" fontId="2" fillId="0" borderId="88" xfId="0" applyFont="1" applyBorder="1" applyAlignment="1" applyProtection="1">
      <alignment horizontal="left" vertical="center" indent="1"/>
      <protection hidden="1"/>
    </xf>
    <xf numFmtId="0" fontId="2" fillId="2" borderId="125" xfId="0" applyFont="1" applyFill="1" applyBorder="1" applyAlignment="1" applyProtection="1">
      <alignment horizontal="right" vertical="center" indent="1"/>
      <protection hidden="1"/>
    </xf>
    <xf numFmtId="0" fontId="2" fillId="2" borderId="126" xfId="0" applyFont="1" applyFill="1" applyBorder="1" applyAlignment="1" applyProtection="1">
      <alignment horizontal="right" vertical="center" indent="1"/>
      <protection hidden="1"/>
    </xf>
    <xf numFmtId="0" fontId="2" fillId="0" borderId="93" xfId="0" applyFont="1" applyBorder="1" applyAlignment="1" applyProtection="1">
      <alignment horizontal="left" vertical="center" indent="1"/>
      <protection hidden="1"/>
    </xf>
    <xf numFmtId="0" fontId="2" fillId="0" borderId="94" xfId="0" applyFont="1" applyBorder="1" applyAlignment="1" applyProtection="1">
      <alignment horizontal="left" vertical="center" indent="1"/>
      <protection hidden="1"/>
    </xf>
    <xf numFmtId="0" fontId="2" fillId="0" borderId="163" xfId="0" applyFont="1" applyBorder="1" applyAlignment="1" applyProtection="1">
      <alignment horizontal="right" vertical="center"/>
      <protection hidden="1"/>
    </xf>
    <xf numFmtId="0" fontId="2" fillId="0" borderId="173" xfId="0" applyFont="1" applyBorder="1" applyAlignment="1" applyProtection="1">
      <alignment horizontal="right" vertical="center"/>
      <protection hidden="1"/>
    </xf>
    <xf numFmtId="0" fontId="2" fillId="2" borderId="86" xfId="0" applyFont="1" applyFill="1" applyBorder="1" applyAlignment="1" applyProtection="1">
      <alignment horizontal="right" vertical="center" indent="1"/>
      <protection hidden="1"/>
    </xf>
    <xf numFmtId="0" fontId="2" fillId="2" borderId="87" xfId="0" applyFont="1" applyFill="1" applyBorder="1" applyAlignment="1" applyProtection="1">
      <alignment horizontal="right" vertical="center" indent="1"/>
      <protection hidden="1"/>
    </xf>
    <xf numFmtId="0" fontId="3" fillId="11" borderId="163" xfId="0" applyFont="1" applyFill="1" applyBorder="1" applyAlignment="1" applyProtection="1">
      <alignment horizontal="center" vertical="center"/>
      <protection hidden="1"/>
    </xf>
    <xf numFmtId="0" fontId="3" fillId="11" borderId="165" xfId="0" applyFont="1" applyFill="1" applyBorder="1" applyAlignment="1" applyProtection="1">
      <alignment horizontal="center" vertical="center"/>
      <protection hidden="1"/>
    </xf>
    <xf numFmtId="0" fontId="1" fillId="2" borderId="86" xfId="0" applyFont="1" applyFill="1" applyBorder="1" applyAlignment="1" applyProtection="1">
      <alignment horizontal="center" vertical="center"/>
      <protection hidden="1"/>
    </xf>
    <xf numFmtId="0" fontId="1" fillId="2" borderId="88" xfId="0" applyFont="1" applyFill="1" applyBorder="1" applyAlignment="1" applyProtection="1">
      <alignment horizontal="center" vertical="center"/>
      <protection hidden="1"/>
    </xf>
    <xf numFmtId="0" fontId="1" fillId="2" borderId="162" xfId="0" applyFont="1" applyFill="1" applyBorder="1" applyAlignment="1" applyProtection="1">
      <alignment horizontal="center" vertical="center"/>
      <protection hidden="1"/>
    </xf>
    <xf numFmtId="0" fontId="1" fillId="2" borderId="179" xfId="0" applyFont="1" applyFill="1" applyBorder="1" applyAlignment="1" applyProtection="1">
      <alignment horizontal="center" vertical="center"/>
      <protection hidden="1"/>
    </xf>
    <xf numFmtId="0" fontId="1" fillId="0" borderId="98" xfId="0" applyFont="1" applyBorder="1" applyAlignment="1" applyProtection="1">
      <alignment horizontal="center" vertical="center"/>
      <protection hidden="1"/>
    </xf>
    <xf numFmtId="0" fontId="1" fillId="0" borderId="99" xfId="0" applyFont="1" applyBorder="1" applyAlignment="1" applyProtection="1">
      <alignment horizontal="center" vertical="center"/>
      <protection hidden="1"/>
    </xf>
    <xf numFmtId="0" fontId="2" fillId="0" borderId="95" xfId="0" applyFont="1" applyBorder="1" applyAlignment="1" applyProtection="1">
      <alignment horizontal="right" vertical="center" indent="1"/>
      <protection hidden="1"/>
    </xf>
    <xf numFmtId="0" fontId="2" fillId="0" borderId="96" xfId="0" applyFont="1" applyBorder="1" applyAlignment="1" applyProtection="1">
      <alignment horizontal="right" vertical="center" indent="1"/>
      <protection hidden="1"/>
    </xf>
    <xf numFmtId="0" fontId="2" fillId="0" borderId="92" xfId="0" applyFont="1" applyBorder="1" applyAlignment="1" applyProtection="1">
      <alignment horizontal="right" vertical="center" indent="1"/>
      <protection hidden="1"/>
    </xf>
    <xf numFmtId="0" fontId="2" fillId="0" borderId="93" xfId="0" applyFont="1" applyBorder="1" applyAlignment="1" applyProtection="1">
      <alignment horizontal="right" vertical="center" indent="1"/>
      <protection hidden="1"/>
    </xf>
    <xf numFmtId="0" fontId="2" fillId="0" borderId="98" xfId="0" applyFont="1" applyBorder="1" applyAlignment="1" applyProtection="1">
      <alignment horizontal="right" vertical="center" indent="1"/>
      <protection hidden="1"/>
    </xf>
    <xf numFmtId="0" fontId="2" fillId="0" borderId="99" xfId="0" applyFont="1" applyBorder="1" applyAlignment="1" applyProtection="1">
      <alignment horizontal="right" vertical="center" indent="1"/>
      <protection hidden="1"/>
    </xf>
    <xf numFmtId="0" fontId="3" fillId="11" borderId="182" xfId="0" applyFont="1" applyFill="1" applyBorder="1" applyAlignment="1" applyProtection="1">
      <alignment horizontal="center" vertical="center"/>
      <protection hidden="1"/>
    </xf>
    <xf numFmtId="0" fontId="3" fillId="11" borderId="136" xfId="0" applyFont="1" applyFill="1" applyBorder="1" applyAlignment="1" applyProtection="1">
      <alignment horizontal="center" vertical="center"/>
      <protection hidden="1"/>
    </xf>
    <xf numFmtId="0" fontId="3" fillId="11" borderId="183" xfId="0" applyFont="1" applyFill="1" applyBorder="1" applyAlignment="1" applyProtection="1">
      <alignment horizontal="center" vertical="center"/>
      <protection hidden="1"/>
    </xf>
    <xf numFmtId="0" fontId="10" fillId="0" borderId="11" xfId="0" applyFont="1" applyBorder="1" applyAlignment="1" applyProtection="1">
      <alignment horizontal="right" vertical="center" indent="1"/>
      <protection hidden="1"/>
    </xf>
    <xf numFmtId="14" fontId="2" fillId="0" borderId="11" xfId="0" applyNumberFormat="1" applyFont="1" applyBorder="1" applyAlignment="1" applyProtection="1">
      <alignment horizontal="left" vertical="center"/>
      <protection hidden="1"/>
    </xf>
    <xf numFmtId="0" fontId="2" fillId="0" borderId="11" xfId="0" applyFont="1" applyBorder="1" applyAlignment="1" applyProtection="1">
      <alignment horizontal="left" vertical="center"/>
      <protection hidden="1"/>
    </xf>
    <xf numFmtId="22" fontId="2" fillId="0" borderId="11" xfId="0" applyNumberFormat="1" applyFont="1" applyBorder="1" applyAlignment="1" applyProtection="1">
      <alignment horizontal="center" vertical="center"/>
      <protection hidden="1"/>
    </xf>
    <xf numFmtId="0" fontId="5" fillId="11" borderId="101" xfId="0" applyFont="1" applyFill="1" applyBorder="1" applyAlignment="1" applyProtection="1">
      <alignment horizontal="center" vertical="center"/>
      <protection hidden="1"/>
    </xf>
    <xf numFmtId="0" fontId="5" fillId="11" borderId="194" xfId="0" applyFont="1" applyFill="1" applyBorder="1" applyAlignment="1" applyProtection="1">
      <alignment horizontal="center" vertical="center"/>
      <protection hidden="1"/>
    </xf>
    <xf numFmtId="0" fontId="39" fillId="2" borderId="98" xfId="0" applyFont="1" applyFill="1" applyBorder="1" applyAlignment="1" applyProtection="1">
      <alignment horizontal="right" vertical="center" indent="1"/>
      <protection hidden="1"/>
    </xf>
    <xf numFmtId="0" fontId="39" fillId="2" borderId="99" xfId="0" applyFont="1" applyFill="1" applyBorder="1" applyAlignment="1" applyProtection="1">
      <alignment horizontal="right" vertical="center" indent="1"/>
      <protection hidden="1"/>
    </xf>
    <xf numFmtId="0" fontId="16" fillId="0" borderId="0" xfId="0" applyFont="1" applyAlignment="1" applyProtection="1">
      <alignment horizontal="center" vertical="center"/>
      <protection hidden="1"/>
    </xf>
    <xf numFmtId="0" fontId="5" fillId="11" borderId="165" xfId="0" applyFont="1" applyFill="1" applyBorder="1" applyAlignment="1" applyProtection="1">
      <alignment horizontal="center" vertical="center"/>
      <protection hidden="1"/>
    </xf>
    <xf numFmtId="0" fontId="13" fillId="0" borderId="144" xfId="0" applyFont="1" applyBorder="1" applyAlignment="1" applyProtection="1">
      <alignment horizontal="center" vertical="center"/>
      <protection hidden="1"/>
    </xf>
    <xf numFmtId="0" fontId="13" fillId="0" borderId="152" xfId="0" applyFont="1" applyBorder="1" applyAlignment="1" applyProtection="1">
      <alignment horizontal="center" vertical="center"/>
      <protection hidden="1"/>
    </xf>
    <xf numFmtId="0" fontId="5" fillId="11" borderId="100" xfId="0" applyFont="1" applyFill="1" applyBorder="1" applyAlignment="1" applyProtection="1">
      <alignment horizontal="center" vertical="center"/>
      <protection hidden="1"/>
    </xf>
    <xf numFmtId="0" fontId="39" fillId="2" borderId="93" xfId="0" applyFont="1" applyFill="1" applyBorder="1" applyAlignment="1" applyProtection="1">
      <alignment horizontal="left" vertical="center" indent="1"/>
      <protection hidden="1"/>
    </xf>
    <xf numFmtId="0" fontId="39" fillId="2" borderId="94" xfId="0" applyFont="1" applyFill="1" applyBorder="1" applyAlignment="1" applyProtection="1">
      <alignment horizontal="left" vertical="center" indent="1"/>
      <protection hidden="1"/>
    </xf>
    <xf numFmtId="0" fontId="39" fillId="2" borderId="87" xfId="0" applyFont="1" applyFill="1" applyBorder="1" applyAlignment="1" applyProtection="1">
      <alignment horizontal="left" vertical="center" indent="1"/>
      <protection hidden="1"/>
    </xf>
    <xf numFmtId="0" fontId="39" fillId="2" borderId="88" xfId="0" applyFont="1" applyFill="1" applyBorder="1" applyAlignment="1" applyProtection="1">
      <alignment horizontal="left" vertical="center" indent="1"/>
      <protection hidden="1"/>
    </xf>
    <xf numFmtId="0" fontId="39" fillId="2" borderId="98" xfId="0" applyFont="1" applyFill="1" applyBorder="1" applyAlignment="1" applyProtection="1">
      <alignment horizontal="right" vertical="center"/>
      <protection hidden="1"/>
    </xf>
    <xf numFmtId="0" fontId="39" fillId="2" borderId="99" xfId="0" applyFont="1" applyFill="1" applyBorder="1" applyAlignment="1" applyProtection="1">
      <alignment horizontal="right" vertical="center"/>
      <protection hidden="1"/>
    </xf>
    <xf numFmtId="0" fontId="15" fillId="2" borderId="86" xfId="0" applyFont="1" applyFill="1" applyBorder="1" applyAlignment="1" applyProtection="1">
      <alignment horizontal="right" vertical="center" indent="1"/>
      <protection hidden="1"/>
    </xf>
    <xf numFmtId="0" fontId="15" fillId="2" borderId="87" xfId="0" applyFont="1" applyFill="1" applyBorder="1" applyAlignment="1" applyProtection="1">
      <alignment horizontal="right" vertical="center" indent="1"/>
      <protection hidden="1"/>
    </xf>
    <xf numFmtId="0" fontId="39" fillId="2" borderId="92" xfId="0" applyFont="1" applyFill="1" applyBorder="1" applyAlignment="1" applyProtection="1">
      <alignment horizontal="right" vertical="center" indent="1"/>
      <protection hidden="1"/>
    </xf>
    <xf numFmtId="0" fontId="39" fillId="2" borderId="93" xfId="0" applyFont="1" applyFill="1" applyBorder="1" applyAlignment="1" applyProtection="1">
      <alignment horizontal="right" vertical="center" indent="1"/>
      <protection hidden="1"/>
    </xf>
    <xf numFmtId="0" fontId="39" fillId="2" borderId="188" xfId="0" applyFont="1" applyFill="1" applyBorder="1" applyAlignment="1" applyProtection="1">
      <alignment horizontal="right" vertical="center" indent="1"/>
      <protection hidden="1"/>
    </xf>
    <xf numFmtId="0" fontId="15" fillId="2" borderId="92" xfId="0" applyFont="1" applyFill="1" applyBorder="1" applyAlignment="1" applyProtection="1">
      <alignment horizontal="right" vertical="center" indent="1"/>
      <protection hidden="1"/>
    </xf>
    <xf numFmtId="0" fontId="15" fillId="2" borderId="93" xfId="0" applyFont="1" applyFill="1" applyBorder="1" applyAlignment="1" applyProtection="1">
      <alignment horizontal="right" vertical="center" indent="1"/>
      <protection hidden="1"/>
    </xf>
    <xf numFmtId="0" fontId="3" fillId="11" borderId="164" xfId="0" applyFont="1" applyFill="1" applyBorder="1" applyAlignment="1" applyProtection="1">
      <alignment horizontal="center" vertical="center"/>
      <protection hidden="1"/>
    </xf>
    <xf numFmtId="0" fontId="39" fillId="2" borderId="99" xfId="0" applyFont="1" applyFill="1" applyBorder="1" applyAlignment="1" applyProtection="1">
      <alignment horizontal="center" vertical="center"/>
      <protection hidden="1"/>
    </xf>
    <xf numFmtId="0" fontId="39" fillId="2" borderId="100" xfId="0" applyFont="1" applyFill="1" applyBorder="1" applyAlignment="1" applyProtection="1">
      <alignment horizontal="center" vertical="center"/>
      <protection hidden="1"/>
    </xf>
    <xf numFmtId="0" fontId="39" fillId="2" borderId="95" xfId="0" applyFont="1" applyFill="1" applyBorder="1" applyAlignment="1" applyProtection="1">
      <alignment horizontal="right" vertical="center" indent="1"/>
      <protection hidden="1"/>
    </xf>
    <xf numFmtId="0" fontId="39" fillId="2" borderId="96" xfId="0" applyFont="1" applyFill="1" applyBorder="1" applyAlignment="1" applyProtection="1">
      <alignment horizontal="right" vertical="center" indent="1"/>
      <protection hidden="1"/>
    </xf>
    <xf numFmtId="0" fontId="39" fillId="2" borderId="202" xfId="0" applyFont="1" applyFill="1" applyBorder="1" applyAlignment="1" applyProtection="1">
      <alignment horizontal="right" vertical="center" indent="1"/>
      <protection hidden="1"/>
    </xf>
    <xf numFmtId="0" fontId="39" fillId="0" borderId="0" xfId="0" applyFont="1" applyAlignment="1" applyProtection="1">
      <alignment horizontal="center" vertical="center"/>
      <protection hidden="1"/>
    </xf>
    <xf numFmtId="0" fontId="5" fillId="11" borderId="141" xfId="0" applyFont="1" applyFill="1" applyBorder="1" applyAlignment="1" applyProtection="1">
      <alignment horizontal="center" vertical="center"/>
      <protection hidden="1"/>
    </xf>
    <xf numFmtId="0" fontId="5" fillId="11" borderId="142" xfId="0" applyFont="1" applyFill="1" applyBorder="1" applyAlignment="1" applyProtection="1">
      <alignment horizontal="center" vertical="center"/>
      <protection hidden="1"/>
    </xf>
    <xf numFmtId="0" fontId="5" fillId="11" borderId="143" xfId="0" applyFont="1" applyFill="1" applyBorder="1" applyAlignment="1" applyProtection="1">
      <alignment horizontal="center" vertical="center"/>
      <protection hidden="1"/>
    </xf>
    <xf numFmtId="0" fontId="39" fillId="2" borderId="114" xfId="0" applyFont="1" applyFill="1" applyBorder="1" applyAlignment="1" applyProtection="1">
      <alignment horizontal="right" vertical="center" indent="1"/>
      <protection hidden="1"/>
    </xf>
    <xf numFmtId="0" fontId="39" fillId="2" borderId="115" xfId="0" applyFont="1" applyFill="1" applyBorder="1" applyAlignment="1" applyProtection="1">
      <alignment horizontal="right" vertical="center" indent="1"/>
      <protection hidden="1"/>
    </xf>
    <xf numFmtId="0" fontId="39" fillId="2" borderId="119" xfId="0" applyFont="1" applyFill="1" applyBorder="1" applyAlignment="1" applyProtection="1">
      <alignment horizontal="right" vertical="center" indent="1"/>
      <protection hidden="1"/>
    </xf>
    <xf numFmtId="0" fontId="2" fillId="0" borderId="13" xfId="0" applyFont="1" applyBorder="1" applyAlignment="1" applyProtection="1">
      <alignment horizontal="center" vertical="center"/>
      <protection hidden="1"/>
    </xf>
    <xf numFmtId="0" fontId="1" fillId="2" borderId="181" xfId="0" applyFont="1" applyFill="1" applyBorder="1" applyAlignment="1" applyProtection="1">
      <alignment horizontal="center" vertical="center"/>
      <protection hidden="1"/>
    </xf>
    <xf numFmtId="0" fontId="3" fillId="11" borderId="8" xfId="0" applyFont="1" applyFill="1" applyBorder="1" applyAlignment="1" applyProtection="1">
      <alignment horizontal="center" vertical="center"/>
      <protection hidden="1"/>
    </xf>
    <xf numFmtId="0" fontId="3" fillId="11" borderId="9" xfId="0" applyFont="1" applyFill="1" applyBorder="1" applyAlignment="1" applyProtection="1">
      <alignment horizontal="center" vertical="center"/>
      <protection hidden="1"/>
    </xf>
    <xf numFmtId="0" fontId="13" fillId="0" borderId="31" xfId="0" applyFont="1" applyBorder="1" applyAlignment="1" applyProtection="1">
      <alignment horizontal="center" vertical="center"/>
      <protection hidden="1"/>
    </xf>
    <xf numFmtId="0" fontId="13" fillId="0" borderId="33" xfId="0" applyFont="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39" fillId="2" borderId="112" xfId="0" applyFont="1" applyFill="1" applyBorder="1" applyAlignment="1" applyProtection="1">
      <alignment horizontal="right" vertical="center" indent="1"/>
      <protection hidden="1"/>
    </xf>
    <xf numFmtId="0" fontId="39" fillId="2" borderId="20" xfId="0" applyFont="1" applyFill="1" applyBorder="1" applyAlignment="1" applyProtection="1">
      <alignment horizontal="right" vertical="center" indent="1"/>
      <protection hidden="1"/>
    </xf>
    <xf numFmtId="0" fontId="39" fillId="2" borderId="56" xfId="0" applyFont="1" applyFill="1" applyBorder="1" applyAlignment="1" applyProtection="1">
      <alignment horizontal="right" vertical="center" indent="1"/>
      <protection hidden="1"/>
    </xf>
    <xf numFmtId="0" fontId="39" fillId="2" borderId="169" xfId="0" applyFont="1" applyFill="1" applyBorder="1" applyAlignment="1" applyProtection="1">
      <alignment horizontal="right" vertical="center" indent="1"/>
      <protection hidden="1"/>
    </xf>
    <xf numFmtId="0" fontId="39" fillId="2" borderId="13" xfId="0" applyFont="1" applyFill="1" applyBorder="1" applyAlignment="1" applyProtection="1">
      <alignment horizontal="right" vertical="center" indent="1"/>
      <protection hidden="1"/>
    </xf>
    <xf numFmtId="22" fontId="41" fillId="0" borderId="101" xfId="0" applyNumberFormat="1" applyFont="1" applyBorder="1" applyAlignment="1" applyProtection="1">
      <alignment horizontal="center" vertical="center"/>
      <protection hidden="1"/>
    </xf>
    <xf numFmtId="22" fontId="41" fillId="0" borderId="102" xfId="0" applyNumberFormat="1"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39" fillId="0" borderId="5" xfId="0" applyFont="1" applyBorder="1" applyAlignment="1" applyProtection="1">
      <alignment horizontal="center" vertical="center"/>
      <protection hidden="1"/>
    </xf>
    <xf numFmtId="0" fontId="39" fillId="0" borderId="163" xfId="0" applyFont="1" applyBorder="1" applyAlignment="1" applyProtection="1">
      <alignment horizontal="right" vertical="center"/>
      <protection hidden="1"/>
    </xf>
    <xf numFmtId="0" fontId="39" fillId="0" borderId="173" xfId="0" applyFont="1" applyBorder="1" applyAlignment="1" applyProtection="1">
      <alignment horizontal="right" vertical="center"/>
      <protection hidden="1"/>
    </xf>
    <xf numFmtId="0" fontId="39" fillId="0" borderId="171" xfId="0" applyFont="1" applyBorder="1" applyAlignment="1" applyProtection="1">
      <alignment horizontal="center" vertical="center"/>
      <protection hidden="1"/>
    </xf>
    <xf numFmtId="0" fontId="39" fillId="0" borderId="172" xfId="0" applyFont="1" applyBorder="1" applyAlignment="1" applyProtection="1">
      <alignment horizontal="center" vertical="center"/>
      <protection hidden="1"/>
    </xf>
    <xf numFmtId="0" fontId="39" fillId="0" borderId="87" xfId="0" applyFont="1" applyBorder="1" applyAlignment="1" applyProtection="1">
      <alignment horizontal="left" vertical="center" indent="1"/>
      <protection hidden="1"/>
    </xf>
    <xf numFmtId="0" fontId="39" fillId="0" borderId="88" xfId="0" applyFont="1" applyBorder="1" applyAlignment="1" applyProtection="1">
      <alignment horizontal="left" vertical="center" indent="1"/>
      <protection hidden="1"/>
    </xf>
    <xf numFmtId="22" fontId="41" fillId="0" borderId="79" xfId="0" applyNumberFormat="1" applyFont="1" applyBorder="1" applyAlignment="1" applyProtection="1">
      <alignment horizontal="center" vertical="center"/>
      <protection hidden="1"/>
    </xf>
    <xf numFmtId="22" fontId="41" fillId="0" borderId="80" xfId="0" applyNumberFormat="1" applyFont="1" applyBorder="1" applyAlignment="1" applyProtection="1">
      <alignment horizontal="center" vertical="center"/>
      <protection hidden="1"/>
    </xf>
    <xf numFmtId="0" fontId="5" fillId="11" borderId="207" xfId="0" applyFont="1" applyFill="1" applyBorder="1" applyAlignment="1" applyProtection="1">
      <alignment horizontal="center" vertical="center"/>
      <protection hidden="1"/>
    </xf>
    <xf numFmtId="0" fontId="5" fillId="11" borderId="27" xfId="0" applyFont="1" applyFill="1" applyBorder="1" applyAlignment="1" applyProtection="1">
      <alignment horizontal="center" vertical="center"/>
      <protection hidden="1"/>
    </xf>
    <xf numFmtId="0" fontId="5" fillId="11" borderId="147" xfId="0" applyFont="1" applyFill="1" applyBorder="1" applyAlignment="1" applyProtection="1">
      <alignment horizontal="center" vertical="center"/>
      <protection hidden="1"/>
    </xf>
    <xf numFmtId="0" fontId="1" fillId="0" borderId="11" xfId="0" applyFont="1" applyBorder="1" applyAlignment="1" applyProtection="1">
      <alignment horizontal="center" vertical="center"/>
      <protection hidden="1"/>
    </xf>
    <xf numFmtId="0" fontId="39" fillId="2" borderId="89" xfId="0" applyFont="1" applyFill="1" applyBorder="1" applyAlignment="1" applyProtection="1">
      <alignment horizontal="center" vertical="center"/>
      <protection hidden="1"/>
    </xf>
    <xf numFmtId="0" fontId="39" fillId="2" borderId="91" xfId="0" applyFont="1" applyFill="1" applyBorder="1" applyAlignment="1" applyProtection="1">
      <alignment horizontal="center" vertical="center"/>
      <protection hidden="1"/>
    </xf>
    <xf numFmtId="0" fontId="2" fillId="0" borderId="110" xfId="0" applyFont="1" applyBorder="1" applyAlignment="1" applyProtection="1">
      <alignment horizontal="center" vertical="center"/>
      <protection hidden="1"/>
    </xf>
    <xf numFmtId="0" fontId="2" fillId="0" borderId="140" xfId="0" applyFont="1" applyBorder="1" applyAlignment="1" applyProtection="1">
      <alignment horizontal="center" vertical="center"/>
      <protection hidden="1"/>
    </xf>
    <xf numFmtId="0" fontId="39" fillId="2" borderId="175" xfId="0" applyFont="1" applyFill="1" applyBorder="1" applyAlignment="1" applyProtection="1">
      <alignment horizontal="right" vertical="center" indent="1"/>
      <protection hidden="1"/>
    </xf>
    <xf numFmtId="0" fontId="39" fillId="2" borderId="176" xfId="0" applyFont="1" applyFill="1" applyBorder="1" applyAlignment="1" applyProtection="1">
      <alignment horizontal="right" vertical="center" indent="1"/>
      <protection hidden="1"/>
    </xf>
    <xf numFmtId="0" fontId="39" fillId="2" borderId="209" xfId="0" applyFont="1" applyFill="1" applyBorder="1" applyAlignment="1" applyProtection="1">
      <alignment horizontal="right" vertical="center" indent="1"/>
      <protection hidden="1"/>
    </xf>
    <xf numFmtId="0" fontId="41" fillId="2" borderId="195" xfId="0" applyFont="1" applyFill="1" applyBorder="1" applyAlignment="1" applyProtection="1">
      <alignment horizontal="right" vertical="center"/>
      <protection hidden="1"/>
    </xf>
    <xf numFmtId="0" fontId="41" fillId="2" borderId="196" xfId="0" applyFont="1" applyFill="1" applyBorder="1" applyAlignment="1" applyProtection="1">
      <alignment horizontal="right" vertical="center"/>
      <protection hidden="1"/>
    </xf>
    <xf numFmtId="0" fontId="41" fillId="2" borderId="227" xfId="0" applyFont="1" applyFill="1" applyBorder="1" applyAlignment="1" applyProtection="1">
      <alignment horizontal="right" vertical="center"/>
      <protection hidden="1"/>
    </xf>
    <xf numFmtId="0" fontId="3" fillId="11" borderId="211" xfId="0" applyFont="1" applyFill="1" applyBorder="1" applyAlignment="1" applyProtection="1">
      <alignment horizontal="center" vertical="center"/>
      <protection hidden="1"/>
    </xf>
    <xf numFmtId="0" fontId="3" fillId="11" borderId="45" xfId="0" applyFont="1" applyFill="1" applyBorder="1" applyAlignment="1" applyProtection="1">
      <alignment horizontal="center" vertical="center"/>
      <protection hidden="1"/>
    </xf>
    <xf numFmtId="0" fontId="3" fillId="11" borderId="212" xfId="0" applyFont="1" applyFill="1" applyBorder="1" applyAlignment="1" applyProtection="1">
      <alignment horizontal="center" vertical="center"/>
      <protection hidden="1"/>
    </xf>
    <xf numFmtId="0" fontId="39" fillId="2" borderId="3" xfId="0" applyFont="1" applyFill="1" applyBorder="1" applyAlignment="1" applyProtection="1">
      <alignment horizontal="right" vertical="center" indent="1"/>
      <protection hidden="1"/>
    </xf>
    <xf numFmtId="0" fontId="39" fillId="2" borderId="0" xfId="0" applyFont="1" applyFill="1" applyAlignment="1" applyProtection="1">
      <alignment horizontal="right" vertical="center" indent="1"/>
      <protection hidden="1"/>
    </xf>
    <xf numFmtId="0" fontId="4" fillId="12" borderId="79" xfId="0" applyFont="1" applyFill="1" applyBorder="1" applyAlignment="1" applyProtection="1">
      <alignment horizontal="center" vertical="center"/>
      <protection locked="0"/>
    </xf>
    <xf numFmtId="0" fontId="4" fillId="12" borderId="80" xfId="0" applyFont="1" applyFill="1" applyBorder="1" applyAlignment="1" applyProtection="1">
      <alignment horizontal="center" vertical="center"/>
      <protection locked="0"/>
    </xf>
    <xf numFmtId="0" fontId="43" fillId="2" borderId="0" xfId="0" applyFont="1" applyFill="1" applyAlignment="1" applyProtection="1">
      <alignment horizontal="right" vertical="center" indent="1"/>
      <protection hidden="1"/>
    </xf>
    <xf numFmtId="0" fontId="2" fillId="0" borderId="162" xfId="0" applyFont="1" applyBorder="1" applyAlignment="1" applyProtection="1">
      <alignment horizontal="center" vertical="center"/>
      <protection hidden="1"/>
    </xf>
    <xf numFmtId="0" fontId="2" fillId="0" borderId="117" xfId="0" applyFont="1" applyBorder="1" applyAlignment="1" applyProtection="1">
      <alignment horizontal="center" vertical="center"/>
      <protection hidden="1"/>
    </xf>
    <xf numFmtId="0" fontId="13" fillId="0" borderId="177" xfId="0" applyFont="1" applyBorder="1" applyAlignment="1" applyProtection="1">
      <alignment horizontal="center" vertical="center"/>
      <protection hidden="1"/>
    </xf>
    <xf numFmtId="0" fontId="13" fillId="0" borderId="225" xfId="0" applyFont="1" applyBorder="1" applyAlignment="1" applyProtection="1">
      <alignment horizontal="center" vertical="center"/>
      <protection hidden="1"/>
    </xf>
    <xf numFmtId="173" fontId="40" fillId="0" borderId="0" xfId="0" applyNumberFormat="1" applyFont="1" applyAlignment="1" applyProtection="1">
      <alignment horizontal="center" vertical="center"/>
      <protection hidden="1"/>
    </xf>
    <xf numFmtId="0" fontId="39" fillId="2" borderId="145" xfId="0" applyFont="1" applyFill="1" applyBorder="1" applyAlignment="1" applyProtection="1">
      <alignment horizontal="center" vertical="center"/>
      <protection hidden="1"/>
    </xf>
    <xf numFmtId="0" fontId="39" fillId="2" borderId="154" xfId="0" applyFont="1" applyFill="1" applyBorder="1" applyAlignment="1" applyProtection="1">
      <alignment horizontal="center" vertical="center"/>
      <protection hidden="1"/>
    </xf>
    <xf numFmtId="22" fontId="41" fillId="0" borderId="81" xfId="0" applyNumberFormat="1" applyFont="1" applyBorder="1" applyAlignment="1" applyProtection="1">
      <alignment horizontal="center" vertical="center"/>
      <protection hidden="1"/>
    </xf>
    <xf numFmtId="22" fontId="41" fillId="0" borderId="82" xfId="0" applyNumberFormat="1" applyFont="1" applyBorder="1" applyAlignment="1" applyProtection="1">
      <alignment horizontal="center" vertical="center"/>
      <protection hidden="1"/>
    </xf>
    <xf numFmtId="22" fontId="41" fillId="0" borderId="83" xfId="0" applyNumberFormat="1" applyFont="1" applyBorder="1" applyAlignment="1" applyProtection="1">
      <alignment horizontal="center" vertical="center"/>
      <protection hidden="1"/>
    </xf>
    <xf numFmtId="22" fontId="41" fillId="0" borderId="84" xfId="0" applyNumberFormat="1" applyFont="1" applyBorder="1" applyAlignment="1" applyProtection="1">
      <alignment horizontal="center" vertical="center"/>
      <protection hidden="1"/>
    </xf>
  </cellXfs>
  <cellStyles count="2">
    <cellStyle name="Normal" xfId="0" builtinId="0"/>
    <cellStyle name="Pourcentage" xfId="1" builtinId="5"/>
  </cellStyles>
  <dxfs count="274">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rgb="FFFF0000"/>
      </font>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dxf>
    <dxf>
      <font>
        <b/>
        <i val="0"/>
        <color rgb="FFFF0000"/>
      </font>
      <fill>
        <patternFill>
          <bgColor rgb="FFFFCCCC"/>
        </patternFill>
      </fill>
    </dxf>
    <dxf>
      <font>
        <b/>
        <i val="0"/>
        <color theme="9" tint="-0.499984740745262"/>
      </font>
      <fill>
        <patternFill>
          <bgColor theme="9" tint="0.7999816888943144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14996795556505021"/>
      </font>
      <fill>
        <patternFill patternType="gray0625">
          <bgColor theme="0" tint="-0.14996795556505021"/>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rgb="FFFF000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
      <font>
        <b/>
        <i val="0"/>
        <color theme="0"/>
      </font>
      <fill>
        <patternFill>
          <bgColor rgb="FFFF0000"/>
        </patternFill>
      </fill>
    </dxf>
    <dxf>
      <font>
        <b/>
        <i val="0"/>
        <color theme="5" tint="-0.499984740745262"/>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CCCC"/>
        </patternFill>
      </fill>
    </dxf>
    <dxf>
      <font>
        <b val="0"/>
        <i val="0"/>
        <color theme="9" tint="-0.499984740745262"/>
      </font>
      <fill>
        <patternFill>
          <bgColor theme="9" tint="0.79998168889431442"/>
        </patternFill>
      </fill>
    </dxf>
    <dxf>
      <font>
        <color rgb="FF7030A0"/>
      </font>
      <fill>
        <patternFill>
          <bgColor theme="4" tint="0.79998168889431442"/>
        </patternFill>
      </fill>
    </dxf>
    <dxf>
      <font>
        <color theme="5" tint="-0.499984740745262"/>
      </font>
      <fill>
        <patternFill>
          <bgColor theme="5" tint="0.79998168889431442"/>
        </patternFill>
      </fill>
    </dxf>
    <dxf>
      <font>
        <b val="0"/>
        <i val="0"/>
        <color theme="9" tint="-0.499984740745262"/>
      </font>
      <fill>
        <patternFill>
          <bgColor theme="9" tint="0.79998168889431442"/>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color rgb="FFFF0000"/>
      </font>
    </dxf>
    <dxf>
      <font>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9" tint="-0.499984740745262"/>
      </font>
      <fill>
        <patternFill>
          <bgColor theme="9" tint="0.79998168889431442"/>
        </patternFill>
      </fill>
    </dxf>
    <dxf>
      <font>
        <b/>
        <i val="0"/>
        <color rgb="FFFF0000"/>
      </font>
      <fill>
        <patternFill>
          <bgColor rgb="FFFFCCC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CCCC"/>
        </patternFill>
      </fill>
    </dxf>
    <dxf>
      <font>
        <color rgb="FFFF0000"/>
      </font>
      <fill>
        <patternFill>
          <bgColor rgb="FFFFCCCC"/>
        </patternFill>
      </fill>
    </dxf>
  </dxfs>
  <tableStyles count="0" defaultTableStyle="TableStyleMedium2" defaultPivotStyle="PivotStyleLight16"/>
  <colors>
    <mruColors>
      <color rgb="FFFFCCCC"/>
      <color rgb="FFFFFFFF"/>
      <color rgb="FF00CC00"/>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87333346265E-2"/>
          <c:y val="6.4092612060023965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08E-4C27-AD93-DF7F7742566F}"/>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08E-4C27-AD93-DF7F7742566F}"/>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08E-4C27-AD93-DF7F7742566F}"/>
                </c:ext>
              </c:extLst>
            </c:dLbl>
            <c:dLbl>
              <c:idx val="3"/>
              <c:layout>
                <c:manualLayout>
                  <c:x val="-3.9119800635330972E-2"/>
                  <c:y val="-4.138770541692028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08E-4C27-AD93-DF7F7742566F}"/>
                </c:ext>
              </c:extLst>
            </c:dLbl>
            <c:spPr>
              <a:noFill/>
              <a:ln w="25400">
                <a:noFill/>
              </a:ln>
            </c:spPr>
            <c:txPr>
              <a:bodyPr rot="0" wrap="square" lIns="38100" tIns="19050" rIns="38100" bIns="19050" anchor="ctr" anchorCtr="1">
                <a:spAutoFit/>
              </a:bodyPr>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'1-PA18-F-GLLN'!$I$7:$I$11</c:f>
              <c:numCache>
                <c:formatCode>0.000</c:formatCode>
                <c:ptCount val="5"/>
                <c:pt idx="0">
                  <c:v>0.29199999999999998</c:v>
                </c:pt>
                <c:pt idx="1">
                  <c:v>0.29199999999999998</c:v>
                </c:pt>
                <c:pt idx="2">
                  <c:v>0.35599999999999998</c:v>
                </c:pt>
                <c:pt idx="3">
                  <c:v>0.53300000000000003</c:v>
                </c:pt>
                <c:pt idx="4">
                  <c:v>0.53300000000000003</c:v>
                </c:pt>
              </c:numCache>
            </c:numRef>
          </c:xVal>
          <c:yVal>
            <c:numRef>
              <c:f>'1-PA18-F-GLLN'!$J$7:$J$11</c:f>
              <c:numCache>
                <c:formatCode>#\ ##0" kg"</c:formatCode>
                <c:ptCount val="5"/>
                <c:pt idx="0">
                  <c:v>453.5</c:v>
                </c:pt>
                <c:pt idx="1">
                  <c:v>545</c:v>
                </c:pt>
                <c:pt idx="2">
                  <c:v>680</c:v>
                </c:pt>
                <c:pt idx="3">
                  <c:v>680</c:v>
                </c:pt>
                <c:pt idx="4">
                  <c:v>453.5</c:v>
                </c:pt>
              </c:numCache>
            </c:numRef>
          </c:yVal>
          <c:smooth val="0"/>
          <c:extLst>
            <c:ext xmlns:c16="http://schemas.microsoft.com/office/drawing/2014/chart" uri="{C3380CC4-5D6E-409C-BE32-E72D297353CC}">
              <c16:uniqueId val="{00000004-108E-4C27-AD93-DF7F7742566F}"/>
            </c:ext>
          </c:extLst>
        </c:ser>
        <c:ser>
          <c:idx val="0"/>
          <c:order val="1"/>
          <c:tx>
            <c:v>Axe Médian</c:v>
          </c:tx>
          <c:spPr>
            <a:ln>
              <a:solidFill>
                <a:schemeClr val="bg1">
                  <a:lumMod val="50000"/>
                </a:schemeClr>
              </a:solidFill>
              <a:prstDash val="dash"/>
            </a:ln>
          </c:spPr>
          <c:marker>
            <c:symbol val="none"/>
          </c:marker>
          <c:xVal>
            <c:numRef>
              <c:f>'1-PA18-F-GLLN'!$V$5:$V$6</c:f>
              <c:numCache>
                <c:formatCode>General</c:formatCode>
                <c:ptCount val="2"/>
                <c:pt idx="0">
                  <c:v>356</c:v>
                </c:pt>
                <c:pt idx="1">
                  <c:v>356</c:v>
                </c:pt>
              </c:numCache>
            </c:numRef>
          </c:xVal>
          <c:yVal>
            <c:numRef>
              <c:f>'1-PA18-F-GLLN'!$U$5:$U$6</c:f>
              <c:numCache>
                <c:formatCode>0</c:formatCode>
                <c:ptCount val="2"/>
                <c:pt idx="0">
                  <c:v>680</c:v>
                </c:pt>
                <c:pt idx="1">
                  <c:v>453.5</c:v>
                </c:pt>
              </c:numCache>
            </c:numRef>
          </c:yVal>
          <c:smooth val="0"/>
          <c:extLst>
            <c:ext xmlns:c16="http://schemas.microsoft.com/office/drawing/2014/chart" uri="{C3380CC4-5D6E-409C-BE32-E72D297353CC}">
              <c16:uniqueId val="{00000003-9C15-494B-B490-89E2A6698A69}"/>
            </c:ext>
          </c:extLst>
        </c:ser>
        <c:ser>
          <c:idx val="2"/>
          <c:order val="2"/>
          <c:tx>
            <c:v>Moment</c:v>
          </c:tx>
          <c:spPr>
            <a:ln w="19050">
              <a:solidFill>
                <a:srgbClr val="FF0000"/>
              </a:solidFill>
              <a:prstDash val="solid"/>
            </a:ln>
          </c:spPr>
          <c:marker>
            <c:symbol val="diamond"/>
            <c:size val="8"/>
            <c:spPr>
              <a:solidFill>
                <a:srgbClr val="FF0000"/>
              </a:solidFill>
              <a:ln w="12700">
                <a:solidFill>
                  <a:srgbClr val="FF0000"/>
                </a:solidFill>
                <a:prstDash val="solid"/>
              </a:ln>
            </c:spPr>
          </c:marker>
          <c:dPt>
            <c:idx val="0"/>
            <c:marker>
              <c:symbol val="diamond"/>
              <c:size val="10"/>
              <c:spPr>
                <a:solidFill>
                  <a:srgbClr val="FF0000"/>
                </a:solidFill>
                <a:ln w="12700">
                  <a:solidFill>
                    <a:srgbClr val="FF0000"/>
                  </a:solidFill>
                  <a:prstDash val="solid"/>
                  <a:tailEnd type="none"/>
                </a:ln>
              </c:spPr>
            </c:marker>
            <c:bubble3D val="0"/>
            <c:extLst>
              <c:ext xmlns:c16="http://schemas.microsoft.com/office/drawing/2014/chart" uri="{C3380CC4-5D6E-409C-BE32-E72D297353CC}">
                <c16:uniqueId val="{00000005-108E-4C27-AD93-DF7F7742566F}"/>
              </c:ext>
            </c:extLst>
          </c:dPt>
          <c:dPt>
            <c:idx val="1"/>
            <c:marker>
              <c:symbol val="diamond"/>
              <c:size val="10"/>
              <c:spPr>
                <a:solidFill>
                  <a:schemeClr val="accent2">
                    <a:lumMod val="50000"/>
                  </a:schemeClr>
                </a:solidFill>
                <a:ln w="12700">
                  <a:solidFill>
                    <a:schemeClr val="accent2">
                      <a:lumMod val="50000"/>
                    </a:schemeClr>
                  </a:solidFill>
                  <a:prstDash val="solid"/>
                </a:ln>
              </c:spPr>
            </c:marker>
            <c:bubble3D val="0"/>
            <c:extLst>
              <c:ext xmlns:c16="http://schemas.microsoft.com/office/drawing/2014/chart" uri="{C3380CC4-5D6E-409C-BE32-E72D297353CC}">
                <c16:uniqueId val="{00000006-108E-4C27-AD93-DF7F7742566F}"/>
              </c:ext>
            </c:extLst>
          </c:dPt>
          <c:dLbls>
            <c:dLbl>
              <c:idx val="1"/>
              <c:numFmt formatCode="##0&quot; kg&quot;" sourceLinked="0"/>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108E-4C27-AD93-DF7F7742566F}"/>
                </c:ext>
              </c:extLst>
            </c:dLbl>
            <c:numFmt formatCode="##0&quot; kg&quot;" sourceLinked="0"/>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'1-PA18-F-GLLN'!$K$12:$K$13</c:f>
              <c:numCache>
                <c:formatCode>0.000</c:formatCode>
                <c:ptCount val="2"/>
                <c:pt idx="0">
                  <c:v>0.50135374351371387</c:v>
                </c:pt>
                <c:pt idx="1">
                  <c:v>0.49692809751581546</c:v>
                </c:pt>
              </c:numCache>
            </c:numRef>
          </c:xVal>
          <c:yVal>
            <c:numRef>
              <c:f>'1-PA18-F-GLLN'!$J$12:$J$13</c:f>
              <c:numCache>
                <c:formatCode>#\ ##0" kg"</c:formatCode>
                <c:ptCount val="2"/>
                <c:pt idx="0">
                  <c:v>674.5</c:v>
                </c:pt>
                <c:pt idx="1">
                  <c:v>648.1</c:v>
                </c:pt>
              </c:numCache>
            </c:numRef>
          </c:yVal>
          <c:smooth val="0"/>
          <c:extLst>
            <c:ext xmlns:c16="http://schemas.microsoft.com/office/drawing/2014/chart" uri="{C3380CC4-5D6E-409C-BE32-E72D297353CC}">
              <c16:uniqueId val="{00000007-108E-4C27-AD93-DF7F7742566F}"/>
            </c:ext>
          </c:extLst>
        </c:ser>
        <c:dLbls>
          <c:showLegendKey val="0"/>
          <c:showVal val="0"/>
          <c:showCatName val="0"/>
          <c:showSerName val="0"/>
          <c:showPercent val="0"/>
          <c:showBubbleSize val="0"/>
        </c:dLbls>
        <c:axId val="563522336"/>
        <c:axId val="1"/>
      </c:scatterChart>
      <c:valAx>
        <c:axId val="563522336"/>
        <c:scaling>
          <c:orientation val="minMax"/>
          <c:max val="0.55000000000000004"/>
          <c:min val="0.25"/>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Bras de levier (m)</a:t>
                </a:r>
              </a:p>
            </c:rich>
          </c:tx>
          <c:layout>
            <c:manualLayout>
              <c:xMode val="edge"/>
              <c:yMode val="edge"/>
              <c:x val="0.43981641287376394"/>
              <c:y val="0.9496864428516810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400"/>
        <c:crossBetween val="midCat"/>
      </c:valAx>
      <c:valAx>
        <c:axId val="1"/>
        <c:scaling>
          <c:orientation val="minMax"/>
          <c:max val="725"/>
          <c:min val="425"/>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'3-Cessna 172-F-HAFL'!$Y$17</c:f>
              <c:strCache>
                <c:ptCount val="1"/>
                <c:pt idx="0">
                  <c:v>Bas</c:v>
                </c:pt>
              </c:strCache>
            </c:strRef>
          </c:tx>
          <c:spPr>
            <a:solidFill>
              <a:srgbClr val="5B9BD5">
                <a:lumMod val="20000"/>
                <a:lumOff val="80000"/>
              </a:srgbClr>
            </a:solidFill>
            <a:ln>
              <a:noFill/>
            </a:ln>
            <a:effectLst/>
            <a:sp3d/>
          </c:spPr>
          <c:invertIfNegative val="0"/>
          <c:dLbls>
            <c:dLbl>
              <c:idx val="0"/>
              <c:layout>
                <c:manualLayout>
                  <c:x val="6.6336242049780544E-2"/>
                  <c:y val="-3.021755832991687E-3"/>
                </c:manualLayout>
              </c:layout>
              <c:tx>
                <c:rich>
                  <a:bodyPr/>
                  <a:lstStyle/>
                  <a:p>
                    <a:fld id="{4B7BEB01-A897-45C4-B456-246AF6B8603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5528583326368934"/>
                      <c:h val="0.14020000052347434"/>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172-F-HAFL'!$Y$18</c:f>
              <c:numCache>
                <c:formatCode>0%</c:formatCode>
                <c:ptCount val="1"/>
                <c:pt idx="0">
                  <c:v>0.2</c:v>
                </c:pt>
              </c:numCache>
            </c:numRef>
          </c:val>
          <c:extLst>
            <c:ext xmlns:c15="http://schemas.microsoft.com/office/drawing/2012/chart" uri="{02D57815-91ED-43cb-92C2-25804820EDAC}">
              <c15:datalabelsRange>
                <c15:f>'3-Cessna 172-F-HAFL'!$R$18</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'3-Cessna 172-F-HAFL'!$X$17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88D18000-F3CE-4741-B5A7-C15224B7235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172-F-HAFL'!$X$18</c:f>
              <c:numCache>
                <c:formatCode>0%</c:formatCode>
                <c:ptCount val="1"/>
                <c:pt idx="0">
                  <c:v>0.2</c:v>
                </c:pt>
              </c:numCache>
            </c:numRef>
          </c:val>
          <c:extLst>
            <c:ext xmlns:c15="http://schemas.microsoft.com/office/drawing/2012/chart" uri="{02D57815-91ED-43cb-92C2-25804820EDAC}">
              <c15:datalabelsRange>
                <c15:f>'3-Cessna 172-F-HAFL'!$W$18</c15:f>
                <c15:dlblRangeCache>
                  <c:ptCount val="1"/>
                  <c:pt idx="0">
                    <c:v>57%</c:v>
                  </c:pt>
                </c15:dlblRangeCache>
              </c15:datalabelsRange>
            </c:ext>
            <c:ext xmlns:c16="http://schemas.microsoft.com/office/drawing/2014/chart" uri="{C3380CC4-5D6E-409C-BE32-E72D297353CC}">
              <c16:uniqueId val="{00000004-5F61-4F24-BB86-B5EFA728895F}"/>
            </c:ext>
          </c:extLst>
        </c:ser>
        <c:ser>
          <c:idx val="4"/>
          <c:order val="2"/>
          <c:tx>
            <c:strRef>
              <c:f>'3-Cessna 172-F-HAFL'!$W$17</c:f>
              <c:strCache>
                <c:ptCount val="1"/>
                <c:pt idx="0">
                  <c:v>Indic.</c:v>
                </c:pt>
              </c:strCache>
            </c:strRef>
          </c:tx>
          <c:spPr>
            <a:solidFill>
              <a:schemeClr val="accent6">
                <a:lumMod val="60000"/>
                <a:lumOff val="40000"/>
              </a:schemeClr>
            </a:solidFill>
            <a:ln>
              <a:noFill/>
            </a:ln>
            <a:effectLst/>
            <a:sp3d/>
          </c:spPr>
          <c:invertIfNegative val="0"/>
          <c:dLbls>
            <c:dLbl>
              <c:idx val="0"/>
              <c:layout>
                <c:manualLayout>
                  <c:x val="-2.2874081780272833E-2"/>
                  <c:y val="-1.0576561815542437E-2"/>
                </c:manualLayout>
              </c:layout>
              <c:tx>
                <c:rich>
                  <a:bodyPr rot="0" spcFirstLastPara="1" vertOverflow="overflow" horzOverflow="overflow"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fld id="{8B673292-589C-4829-9DE5-C40C48D12722}" type="CELLRANGE">
                      <a:rPr lang="en-US"/>
                      <a:pPr>
                        <a:defRPr sz="1400" b="1">
                          <a:solidFill>
                            <a:schemeClr val="accent6">
                              <a:lumMod val="50000"/>
                            </a:schemeClr>
                          </a:solidFill>
                          <a:latin typeface="Book Antiqua" panose="02040602050305030304" pitchFamily="18" charset="0"/>
                        </a:defRPr>
                      </a:pPr>
                      <a:t>[PLAGECELL]</a:t>
                    </a:fld>
                    <a:endParaRPr lang="fr-FR"/>
                  </a:p>
                </c:rich>
              </c:tx>
              <c:spPr>
                <a:noFill/>
                <a:ln>
                  <a:noFill/>
                </a:ln>
                <a:effectLst/>
              </c:spPr>
              <c:txPr>
                <a:bodyPr rot="0" spcFirstLastPara="1" vertOverflow="overflow" horzOverflow="overflow"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val>
            <c:numRef>
              <c:f>'3-Cessna 172-F-HAFL'!$W$18</c:f>
              <c:numCache>
                <c:formatCode>0%</c:formatCode>
                <c:ptCount val="1"/>
                <c:pt idx="0">
                  <c:v>0.56603773584905659</c:v>
                </c:pt>
              </c:numCache>
            </c:numRef>
          </c:val>
          <c:extLst>
            <c:ext xmlns:c15="http://schemas.microsoft.com/office/drawing/2012/chart" uri="{02D57815-91ED-43cb-92C2-25804820EDAC}">
              <c15:datalabelsRange>
                <c15:f>'3-Cessna 172-F-HAFL'!$T$18:$U$18</c15:f>
                <c15:dlblRangeCache>
                  <c:ptCount val="2"/>
                  <c:pt idx="0">
                    <c:v>60 L</c:v>
                  </c:pt>
                  <c:pt idx="1">
                    <c:v>15,85 Gal US</c:v>
                  </c:pt>
                </c15:dlblRangeCache>
              </c15:datalabelsRange>
            </c:ext>
            <c:ext xmlns:c16="http://schemas.microsoft.com/office/drawing/2014/chart" uri="{C3380CC4-5D6E-409C-BE32-E72D297353CC}">
              <c16:uniqueId val="{00000006-5F61-4F24-BB86-B5EFA728895F}"/>
            </c:ext>
          </c:extLst>
        </c:ser>
        <c:ser>
          <c:idx val="2"/>
          <c:order val="3"/>
          <c:tx>
            <c:strRef>
              <c:f>'3-Cessna 172-F-HAFL'!$V$17</c:f>
              <c:strCache>
                <c:ptCount val="1"/>
                <c:pt idx="0">
                  <c:v>Transparent</c:v>
                </c:pt>
              </c:strCache>
            </c:strRef>
          </c:tx>
          <c:spPr>
            <a:solidFill>
              <a:srgbClr val="FFFFFF">
                <a:alpha val="20000"/>
              </a:srgbClr>
            </a:solidFill>
            <a:ln>
              <a:noFill/>
            </a:ln>
            <a:effectLst/>
            <a:sp3d/>
          </c:spPr>
          <c:invertIfNegative val="0"/>
          <c:val>
            <c:numRef>
              <c:f>'3-Cessna 172-F-HAFL'!$V$18</c:f>
              <c:numCache>
                <c:formatCode>0%</c:formatCode>
                <c:ptCount val="1"/>
                <c:pt idx="0">
                  <c:v>0.43396226415094341</c:v>
                </c:pt>
              </c:numCache>
            </c:numRef>
          </c:val>
          <c:extLst>
            <c:ext xmlns:c16="http://schemas.microsoft.com/office/drawing/2014/chart" uri="{C3380CC4-5D6E-409C-BE32-E72D297353CC}">
              <c16:uniqueId val="{00000007-5F61-4F24-BB86-B5EFA728895F}"/>
            </c:ext>
          </c:extLst>
        </c:ser>
        <c:ser>
          <c:idx val="3"/>
          <c:order val="4"/>
          <c:tx>
            <c:strRef>
              <c:f>'3-Cessna 172-F-HAFL'!$Z$17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198214424659153E-2"/>
                  <c:y val="-9.0656244133220428E-3"/>
                </c:manualLayout>
              </c:layout>
              <c:tx>
                <c:rich>
                  <a:bodyPr/>
                  <a:lstStyle/>
                  <a:p>
                    <a:fld id="{09A659FE-FCD0-417D-8A6A-CE7878362EF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360808119814537"/>
                      <c:h val="9.648846250579093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172-F-HAFL'!$Z$18</c:f>
              <c:numCache>
                <c:formatCode>0%</c:formatCode>
                <c:ptCount val="1"/>
                <c:pt idx="0">
                  <c:v>0.2</c:v>
                </c:pt>
              </c:numCache>
            </c:numRef>
          </c:val>
          <c:extLst>
            <c:ext xmlns:c15="http://schemas.microsoft.com/office/drawing/2012/chart" uri="{02D57815-91ED-43cb-92C2-25804820EDAC}">
              <c15:datalabelsRange>
                <c15:f>'3-Cessna 172-F-HAFL'!$S$18</c15:f>
                <c15:dlblRangeCache>
                  <c:ptCount val="1"/>
                  <c:pt idx="0">
                    <c:v>Maxi 106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'3-Cessna 172-F-HAFL'!$Y$15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5.4906829523301316E-2"/>
                  <c:y val="0"/>
                </c:manualLayout>
              </c:layout>
              <c:tx>
                <c:rich>
                  <a:bodyPr/>
                  <a:lstStyle/>
                  <a:p>
                    <a:fld id="{30616A5A-C011-459F-9B7C-D160C02B8D2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163504900362485"/>
                      <c:h val="9.6466059973856141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172-F-HAFL'!$Y$16</c:f>
              <c:numCache>
                <c:formatCode>0%</c:formatCode>
                <c:ptCount val="1"/>
                <c:pt idx="0">
                  <c:v>0.2</c:v>
                </c:pt>
              </c:numCache>
            </c:numRef>
          </c:val>
          <c:extLst>
            <c:ext xmlns:c15="http://schemas.microsoft.com/office/drawing/2012/chart" uri="{02D57815-91ED-43cb-92C2-25804820EDAC}">
              <c15:datalabelsRange>
                <c15:f>'3-Cessna 172-F-HAFL'!$R$16</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'3-Cessna 172-F-HAFL'!$X$15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69C7B04F-06CB-44B0-ADF1-D35CD430C05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172-F-HAFL'!$X$16</c:f>
              <c:numCache>
                <c:formatCode>0%</c:formatCode>
                <c:ptCount val="1"/>
                <c:pt idx="0">
                  <c:v>0.2</c:v>
                </c:pt>
              </c:numCache>
            </c:numRef>
          </c:val>
          <c:extLst>
            <c:ext xmlns:c15="http://schemas.microsoft.com/office/drawing/2012/chart" uri="{02D57815-91ED-43cb-92C2-25804820EDAC}">
              <c15:datalabelsRange>
                <c15:f>'3-Cessna 172-F-HAFL'!$W$16</c15:f>
                <c15:dlblRangeCache>
                  <c:ptCount val="1"/>
                  <c:pt idx="0">
                    <c:v>57%</c:v>
                  </c:pt>
                </c15:dlblRangeCache>
              </c15:datalabelsRange>
            </c:ext>
            <c:ext xmlns:c16="http://schemas.microsoft.com/office/drawing/2014/chart" uri="{C3380CC4-5D6E-409C-BE32-E72D297353CC}">
              <c16:uniqueId val="{00000004-5F61-4F24-BB86-B5EFA728895F}"/>
            </c:ext>
          </c:extLst>
        </c:ser>
        <c:ser>
          <c:idx val="4"/>
          <c:order val="2"/>
          <c:tx>
            <c:strRef>
              <c:f>'3-Cessna 172-F-HAFL'!$W$15</c:f>
              <c:strCache>
                <c:ptCount val="1"/>
                <c:pt idx="0">
                  <c:v>Indic.</c:v>
                </c:pt>
              </c:strCache>
            </c:strRef>
          </c:tx>
          <c:spPr>
            <a:solidFill>
              <a:schemeClr val="accent6">
                <a:lumMod val="60000"/>
                <a:lumOff val="40000"/>
              </a:schemeClr>
            </a:solidFill>
            <a:ln>
              <a:noFill/>
            </a:ln>
            <a:effectLst/>
            <a:sp3d/>
          </c:spPr>
          <c:invertIfNegative val="0"/>
          <c:dLbls>
            <c:dLbl>
              <c:idx val="0"/>
              <c:layout>
                <c:manualLayout>
                  <c:x val="0"/>
                  <c:y val="-3.0211731905374155E-3"/>
                </c:manualLayout>
              </c:layout>
              <c:tx>
                <c:rich>
                  <a:bodyPr/>
                  <a:lstStyle/>
                  <a:p>
                    <a:fld id="{891E9C8A-AF5C-4F81-9278-378A6905E84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172-F-HAFL'!$W$16</c:f>
              <c:numCache>
                <c:formatCode>0%</c:formatCode>
                <c:ptCount val="1"/>
                <c:pt idx="0">
                  <c:v>0.56603773584905659</c:v>
                </c:pt>
              </c:numCache>
            </c:numRef>
          </c:val>
          <c:extLst>
            <c:ext xmlns:c15="http://schemas.microsoft.com/office/drawing/2012/chart" uri="{02D57815-91ED-43cb-92C2-25804820EDAC}">
              <c15:datalabelsRange>
                <c15:f>'3-Cessna 172-F-HAFL'!$T$16</c15:f>
                <c15:dlblRangeCache>
                  <c:ptCount val="1"/>
                  <c:pt idx="0">
                    <c:v>60 L</c:v>
                  </c:pt>
                </c15:dlblRangeCache>
              </c15:datalabelsRange>
            </c:ext>
            <c:ext xmlns:c16="http://schemas.microsoft.com/office/drawing/2014/chart" uri="{C3380CC4-5D6E-409C-BE32-E72D297353CC}">
              <c16:uniqueId val="{00000006-5F61-4F24-BB86-B5EFA728895F}"/>
            </c:ext>
          </c:extLst>
        </c:ser>
        <c:ser>
          <c:idx val="2"/>
          <c:order val="3"/>
          <c:tx>
            <c:strRef>
              <c:f>'3-Cessna 172-F-HAFL'!$V$15</c:f>
              <c:strCache>
                <c:ptCount val="1"/>
                <c:pt idx="0">
                  <c:v>Transparent</c:v>
                </c:pt>
              </c:strCache>
            </c:strRef>
          </c:tx>
          <c:spPr>
            <a:solidFill>
              <a:srgbClr val="FFFFFF">
                <a:alpha val="20000"/>
              </a:srgbClr>
            </a:solidFill>
            <a:ln>
              <a:noFill/>
            </a:ln>
            <a:effectLst/>
            <a:sp3d/>
          </c:spPr>
          <c:invertIfNegative val="0"/>
          <c:val>
            <c:numRef>
              <c:f>'3-Cessna 172-F-HAFL'!$V$16</c:f>
              <c:numCache>
                <c:formatCode>0%</c:formatCode>
                <c:ptCount val="1"/>
                <c:pt idx="0">
                  <c:v>0.43396226415094341</c:v>
                </c:pt>
              </c:numCache>
            </c:numRef>
          </c:val>
          <c:extLst>
            <c:ext xmlns:c16="http://schemas.microsoft.com/office/drawing/2014/chart" uri="{C3380CC4-5D6E-409C-BE32-E72D297353CC}">
              <c16:uniqueId val="{00000007-5F61-4F24-BB86-B5EFA728895F}"/>
            </c:ext>
          </c:extLst>
        </c:ser>
        <c:ser>
          <c:idx val="3"/>
          <c:order val="4"/>
          <c:tx>
            <c:strRef>
              <c:f>'3-Cessna 172-F-HAFL'!$Z$15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209286171585286E-2"/>
                  <c:y val="-6.0423463810746376E-3"/>
                </c:manualLayout>
              </c:layout>
              <c:tx>
                <c:rich>
                  <a:bodyPr/>
                  <a:lstStyle/>
                  <a:p>
                    <a:fld id="{A7D90B21-4FCD-4961-93F5-0B3DA968A0A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2179977669781534"/>
                      <c:h val="9.6466059973856141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'3-Cessna 172-F-HAFL'!$Z$16</c:f>
              <c:numCache>
                <c:formatCode>0%</c:formatCode>
                <c:ptCount val="1"/>
                <c:pt idx="0">
                  <c:v>0.2</c:v>
                </c:pt>
              </c:numCache>
            </c:numRef>
          </c:val>
          <c:extLst>
            <c:ext xmlns:c15="http://schemas.microsoft.com/office/drawing/2012/chart" uri="{02D57815-91ED-43cb-92C2-25804820EDAC}">
              <c15:datalabelsRange>
                <c15:f>'3-Cessna 172-F-HAFL'!$S$16</c15:f>
                <c15:dlblRangeCache>
                  <c:ptCount val="1"/>
                  <c:pt idx="0">
                    <c:v>Maxi 106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171-4B43-9AF3-AF1D8E8AD0F2}"/>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171-4B43-9AF3-AF1D8E8AD0F2}"/>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171-4B43-9AF3-AF1D8E8AD0F2}"/>
                </c:ext>
              </c:extLst>
            </c:dLbl>
            <c:dLbl>
              <c:idx val="3"/>
              <c:layout>
                <c:manualLayout>
                  <c:x val="-3.9119800635330972E-2"/>
                  <c:y val="-4.138770541692028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171-4B43-9AF3-AF1D8E8AD0F2}"/>
                </c:ext>
              </c:extLst>
            </c:dLbl>
            <c:spPr>
              <a:noFill/>
              <a:ln w="25400">
                <a:noFill/>
              </a:ln>
            </c:spPr>
            <c:txPr>
              <a:bodyPr rot="0" wrap="square" lIns="38100" tIns="19050" rIns="38100" bIns="19050" anchor="ctr" anchorCtr="1">
                <a:spAutoFit/>
              </a:bodyPr>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'4-DR 401-F-HIGI'!$I$7:$I$11</c:f>
              <c:numCache>
                <c:formatCode>0.00</c:formatCode>
                <c:ptCount val="5"/>
                <c:pt idx="0">
                  <c:v>257</c:v>
                </c:pt>
                <c:pt idx="1">
                  <c:v>257</c:v>
                </c:pt>
                <c:pt idx="2">
                  <c:v>462</c:v>
                </c:pt>
                <c:pt idx="3">
                  <c:v>564</c:v>
                </c:pt>
                <c:pt idx="4">
                  <c:v>564</c:v>
                </c:pt>
              </c:numCache>
            </c:numRef>
          </c:xVal>
          <c:yVal>
            <c:numRef>
              <c:f>'4-DR 401-F-HIGI'!$J$7:$J$11</c:f>
              <c:numCache>
                <c:formatCode>#\ ##0" kg"</c:formatCode>
                <c:ptCount val="5"/>
                <c:pt idx="0">
                  <c:v>686.34</c:v>
                </c:pt>
                <c:pt idx="1">
                  <c:v>820</c:v>
                </c:pt>
                <c:pt idx="2">
                  <c:v>1100</c:v>
                </c:pt>
                <c:pt idx="3">
                  <c:v>1100</c:v>
                </c:pt>
                <c:pt idx="4">
                  <c:v>686.34</c:v>
                </c:pt>
              </c:numCache>
            </c:numRef>
          </c:yVal>
          <c:smooth val="0"/>
          <c:extLst>
            <c:ext xmlns:c16="http://schemas.microsoft.com/office/drawing/2014/chart" uri="{C3380CC4-5D6E-409C-BE32-E72D297353CC}">
              <c16:uniqueId val="{00000004-C171-4B43-9AF3-AF1D8E8AD0F2}"/>
            </c:ext>
          </c:extLst>
        </c:ser>
        <c:ser>
          <c:idx val="0"/>
          <c:order val="1"/>
          <c:tx>
            <c:v>Axe médian centrage</c:v>
          </c:tx>
          <c:marker>
            <c:symbol val="none"/>
          </c:marker>
          <c:xVal>
            <c:numRef>
              <c:f>'4-DR 401-F-HIGI'!$R$29:$R$30</c:f>
              <c:numCache>
                <c:formatCode>General</c:formatCode>
                <c:ptCount val="2"/>
              </c:numCache>
              <c:extLst xmlns:c15="http://schemas.microsoft.com/office/drawing/2012/chart"/>
            </c:numRef>
          </c:xVal>
          <c:yVal>
            <c:numRef>
              <c:f>'4-DR 401-F-HIGI'!$Q$29:$Q$30</c:f>
              <c:extLst xmlns:c15="http://schemas.microsoft.com/office/drawing/2012/chart"/>
            </c:numRef>
          </c:yVal>
          <c:smooth val="0"/>
          <c:extLst xmlns:c15="http://schemas.microsoft.com/office/drawing/2012/chart">
            <c:ext xmlns:c16="http://schemas.microsoft.com/office/drawing/2014/chart" uri="{C3380CC4-5D6E-409C-BE32-E72D297353CC}">
              <c16:uniqueId val="{00000005-4FCE-4A97-B8D3-B4BF9F16DFFA}"/>
            </c:ext>
          </c:extLst>
        </c:ser>
        <c:ser>
          <c:idx val="2"/>
          <c:order val="2"/>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5-C171-4B43-9AF3-AF1D8E8AD0F2}"/>
              </c:ext>
            </c:extLst>
          </c:dPt>
          <c:dPt>
            <c:idx val="1"/>
            <c:bubble3D val="0"/>
            <c:extLst>
              <c:ext xmlns:c16="http://schemas.microsoft.com/office/drawing/2014/chart" uri="{C3380CC4-5D6E-409C-BE32-E72D297353CC}">
                <c16:uniqueId val="{00000006-C171-4B43-9AF3-AF1D8E8AD0F2}"/>
              </c:ext>
            </c:extLst>
          </c:dPt>
          <c:dLbls>
            <c:dLbl>
              <c:idx val="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C171-4B43-9AF3-AF1D8E8AD0F2}"/>
                </c:ext>
              </c:extLst>
            </c:dLbl>
            <c:dLbl>
              <c:idx val="1"/>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C171-4B43-9AF3-AF1D8E8AD0F2}"/>
                </c:ext>
              </c:extLst>
            </c:dLbl>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'4-DR 401-F-HIGI'!$I$12:$I$13</c:f>
              <c:numCache>
                <c:formatCode>0.00</c:formatCode>
                <c:ptCount val="2"/>
                <c:pt idx="0">
                  <c:v>512.23343999999997</c:v>
                </c:pt>
                <c:pt idx="1">
                  <c:v>444.96624000000003</c:v>
                </c:pt>
              </c:numCache>
            </c:numRef>
          </c:xVal>
          <c:yVal>
            <c:numRef>
              <c:f>'4-DR 401-F-HIGI'!$J$12:$J$13</c:f>
              <c:numCache>
                <c:formatCode>#\ #00" kg"</c:formatCode>
                <c:ptCount val="2"/>
                <c:pt idx="0">
                  <c:v>1025.06</c:v>
                </c:pt>
                <c:pt idx="1">
                  <c:v>967.94</c:v>
                </c:pt>
              </c:numCache>
            </c:numRef>
          </c:yVal>
          <c:smooth val="0"/>
          <c:extLst>
            <c:ext xmlns:c16="http://schemas.microsoft.com/office/drawing/2014/chart" uri="{C3380CC4-5D6E-409C-BE32-E72D297353CC}">
              <c16:uniqueId val="{00000007-C171-4B43-9AF3-AF1D8E8AD0F2}"/>
            </c:ext>
          </c:extLst>
        </c:ser>
        <c:dLbls>
          <c:showLegendKey val="0"/>
          <c:showVal val="0"/>
          <c:showCatName val="0"/>
          <c:showSerName val="0"/>
          <c:showPercent val="0"/>
          <c:showBubbleSize val="0"/>
        </c:dLbls>
        <c:axId val="563522336"/>
        <c:axId val="1"/>
        <c:extLst/>
      </c:scatterChart>
      <c:valAx>
        <c:axId val="563522336"/>
        <c:scaling>
          <c:orientation val="minMax"/>
          <c:max val="650"/>
          <c:min val="2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 val="autoZero"/>
        <c:crossBetween val="midCat"/>
        <c:majorUnit val="50"/>
      </c:valAx>
      <c:valAx>
        <c:axId val="1"/>
        <c:scaling>
          <c:orientation val="minMax"/>
          <c:max val="1150"/>
          <c:min val="65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'4-DR 401-F-HIGI'!$X$16</c:f>
              <c:strCache>
                <c:ptCount val="1"/>
                <c:pt idx="0">
                  <c:v>Bas</c:v>
                </c:pt>
              </c:strCache>
            </c:strRef>
          </c:tx>
          <c:spPr>
            <a:solidFill>
              <a:schemeClr val="accent5">
                <a:lumMod val="20000"/>
                <a:lumOff val="80000"/>
              </a:schemeClr>
            </a:solidFill>
            <a:ln>
              <a:noFill/>
            </a:ln>
            <a:effectLst/>
            <a:sp3d/>
          </c:spPr>
          <c:invertIfNegative val="0"/>
          <c:dLbls>
            <c:dLbl>
              <c:idx val="0"/>
              <c:layout>
                <c:manualLayout>
                  <c:x val="6.3767779123906743E-2"/>
                  <c:y val="-3.0504896876634834E-3"/>
                </c:manualLayout>
              </c:layout>
              <c:tx>
                <c:rich>
                  <a:bodyPr/>
                  <a:lstStyle/>
                  <a:p>
                    <a:fld id="{F141C769-7DC5-4B2A-9B68-EDE7221E31E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3377877529999195"/>
                      <c:h val="0.10011707154911553"/>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401-F-HIGI'!$X$17</c:f>
              <c:numCache>
                <c:formatCode>0%</c:formatCode>
                <c:ptCount val="1"/>
                <c:pt idx="0">
                  <c:v>0.2</c:v>
                </c:pt>
              </c:numCache>
            </c:numRef>
          </c:val>
          <c:extLst>
            <c:ext xmlns:c15="http://schemas.microsoft.com/office/drawing/2012/chart" uri="{02D57815-91ED-43cb-92C2-25804820EDAC}">
              <c15:datalabelsRange>
                <c15:f>'4-DR 401-F-HIGI'!$R$17</c15:f>
                <c15:dlblRangeCache>
                  <c:ptCount val="1"/>
                  <c:pt idx="0">
                    <c:v>Principal</c:v>
                  </c:pt>
                </c15:dlblRangeCache>
              </c15:datalabelsRange>
            </c:ext>
            <c:ext xmlns:c16="http://schemas.microsoft.com/office/drawing/2014/chart" uri="{C3380CC4-5D6E-409C-BE32-E72D297353CC}">
              <c16:uniqueId val="{00000001-5F61-4F24-BB86-B5EFA728895F}"/>
            </c:ext>
          </c:extLst>
        </c:ser>
        <c:ser>
          <c:idx val="0"/>
          <c:order val="1"/>
          <c:tx>
            <c:strRef>
              <c:f>'4-DR 401-F-HIGI'!$W$16</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57140454-1004-4376-85EB-672CA808DCF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401-F-HIGI'!$W$17</c:f>
              <c:numCache>
                <c:formatCode>0%</c:formatCode>
                <c:ptCount val="1"/>
                <c:pt idx="0">
                  <c:v>0.2</c:v>
                </c:pt>
              </c:numCache>
            </c:numRef>
          </c:val>
          <c:extLst>
            <c:ext xmlns:c15="http://schemas.microsoft.com/office/drawing/2012/chart" uri="{02D57815-91ED-43cb-92C2-25804820EDAC}">
              <c15:datalabelsRange>
                <c15:f>'4-DR 401-F-HIGI'!$V$17</c15:f>
                <c15:dlblRangeCache>
                  <c:ptCount val="1"/>
                  <c:pt idx="0">
                    <c:v>55%</c:v>
                  </c:pt>
                </c15:dlblRangeCache>
              </c15:datalabelsRange>
            </c:ext>
            <c:ext xmlns:c16="http://schemas.microsoft.com/office/drawing/2014/chart" uri="{C3380CC4-5D6E-409C-BE32-E72D297353CC}">
              <c16:uniqueId val="{00000004-5F61-4F24-BB86-B5EFA728895F}"/>
            </c:ext>
          </c:extLst>
        </c:ser>
        <c:ser>
          <c:idx val="4"/>
          <c:order val="2"/>
          <c:tx>
            <c:strRef>
              <c:f>'4-DR 401-F-HIGI'!$V$16</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DBD95442-1567-48D1-82D2-346E41F2EE9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401-F-HIGI'!$V$17</c:f>
              <c:numCache>
                <c:formatCode>0%</c:formatCode>
                <c:ptCount val="1"/>
                <c:pt idx="0">
                  <c:v>0.54545454545454541</c:v>
                </c:pt>
              </c:numCache>
            </c:numRef>
          </c:val>
          <c:extLst>
            <c:ext xmlns:c15="http://schemas.microsoft.com/office/drawing/2012/chart" uri="{02D57815-91ED-43cb-92C2-25804820EDAC}">
              <c15:datalabelsRange>
                <c15:f>'4-DR 401-F-HIGI'!$T$17</c15:f>
                <c15:dlblRangeCache>
                  <c:ptCount val="1"/>
                  <c:pt idx="0">
                    <c:v>60 L</c:v>
                  </c:pt>
                </c15:dlblRangeCache>
              </c15:datalabelsRange>
            </c:ext>
            <c:ext xmlns:c16="http://schemas.microsoft.com/office/drawing/2014/chart" uri="{C3380CC4-5D6E-409C-BE32-E72D297353CC}">
              <c16:uniqueId val="{00000006-5F61-4F24-BB86-B5EFA728895F}"/>
            </c:ext>
          </c:extLst>
        </c:ser>
        <c:ser>
          <c:idx val="2"/>
          <c:order val="3"/>
          <c:tx>
            <c:strRef>
              <c:f>'4-DR 401-F-HIGI'!$U$16</c:f>
              <c:strCache>
                <c:ptCount val="1"/>
                <c:pt idx="0">
                  <c:v>Transparent</c:v>
                </c:pt>
              </c:strCache>
            </c:strRef>
          </c:tx>
          <c:spPr>
            <a:solidFill>
              <a:srgbClr val="FFFFFF">
                <a:alpha val="20000"/>
              </a:srgbClr>
            </a:solidFill>
            <a:ln>
              <a:noFill/>
            </a:ln>
            <a:effectLst/>
            <a:sp3d/>
          </c:spPr>
          <c:invertIfNegative val="0"/>
          <c:val>
            <c:numRef>
              <c:f>'4-DR 401-F-HIGI'!$U$17</c:f>
              <c:numCache>
                <c:formatCode>0%</c:formatCode>
                <c:ptCount val="1"/>
                <c:pt idx="0">
                  <c:v>0.45454545454545459</c:v>
                </c:pt>
              </c:numCache>
            </c:numRef>
          </c:val>
          <c:extLst>
            <c:ext xmlns:c16="http://schemas.microsoft.com/office/drawing/2014/chart" uri="{C3380CC4-5D6E-409C-BE32-E72D297353CC}">
              <c16:uniqueId val="{00000007-5F61-4F24-BB86-B5EFA728895F}"/>
            </c:ext>
          </c:extLst>
        </c:ser>
        <c:ser>
          <c:idx val="3"/>
          <c:order val="4"/>
          <c:tx>
            <c:strRef>
              <c:f>'4-DR 401-F-HIGI'!$Y$16</c:f>
              <c:strCache>
                <c:ptCount val="1"/>
                <c:pt idx="0">
                  <c:v>Haut</c:v>
                </c:pt>
              </c:strCache>
            </c:strRef>
          </c:tx>
          <c:spPr>
            <a:solidFill>
              <a:schemeClr val="accent5">
                <a:lumMod val="20000"/>
                <a:lumOff val="80000"/>
              </a:schemeClr>
            </a:solidFill>
            <a:ln>
              <a:noFill/>
            </a:ln>
            <a:effectLst/>
            <a:sp3d/>
          </c:spPr>
          <c:invertIfNegative val="0"/>
          <c:dLbls>
            <c:dLbl>
              <c:idx val="0"/>
              <c:layout>
                <c:manualLayout>
                  <c:x val="8.4809268262080767E-2"/>
                  <c:y val="-1.2434875770167053E-2"/>
                </c:manualLayout>
              </c:layout>
              <c:tx>
                <c:rich>
                  <a:bodyPr/>
                  <a:lstStyle/>
                  <a:p>
                    <a:fld id="{2FF9E4D5-A7DE-450C-A3AC-464CC04D66D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9649888201220754"/>
                      <c:h val="9.740221799838262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401-F-HIGI'!$Y$17</c:f>
              <c:numCache>
                <c:formatCode>0%</c:formatCode>
                <c:ptCount val="1"/>
                <c:pt idx="0">
                  <c:v>0.2</c:v>
                </c:pt>
              </c:numCache>
            </c:numRef>
          </c:val>
          <c:extLst>
            <c:ext xmlns:c15="http://schemas.microsoft.com/office/drawing/2012/chart" uri="{02D57815-91ED-43cb-92C2-25804820EDAC}">
              <c15:datalabelsRange>
                <c15:f>'4-DR 401-F-HIGI'!$S$17</c15:f>
                <c15:dlblRangeCache>
                  <c:ptCount val="1"/>
                  <c:pt idx="0">
                    <c:v>Maxi 110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'4-DR 401-F-HIGI'!$X$18</c:f>
              <c:strCache>
                <c:ptCount val="1"/>
                <c:pt idx="0">
                  <c:v>Bas</c:v>
                </c:pt>
              </c:strCache>
            </c:strRef>
          </c:tx>
          <c:spPr>
            <a:solidFill>
              <a:schemeClr val="accent5">
                <a:lumMod val="20000"/>
                <a:lumOff val="80000"/>
              </a:schemeClr>
            </a:solidFill>
            <a:ln>
              <a:noFill/>
            </a:ln>
            <a:effectLst/>
            <a:sp3d/>
          </c:spPr>
          <c:invertIfNegative val="0"/>
          <c:dLbls>
            <c:dLbl>
              <c:idx val="0"/>
              <c:layout>
                <c:manualLayout>
                  <c:x val="6.8332945934971634E-2"/>
                  <c:y val="0"/>
                </c:manualLayout>
              </c:layout>
              <c:tx>
                <c:rich>
                  <a:bodyPr/>
                  <a:lstStyle/>
                  <a:p>
                    <a:fld id="{47F76D33-7ABC-487D-89D4-A02E525F10A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467047464908163"/>
                      <c:h val="9.7379540813288021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401-F-HIGI'!$X$19</c:f>
              <c:numCache>
                <c:formatCode>0%</c:formatCode>
                <c:ptCount val="1"/>
                <c:pt idx="0">
                  <c:v>0.2</c:v>
                </c:pt>
              </c:numCache>
            </c:numRef>
          </c:val>
          <c:extLst>
            <c:ext xmlns:c15="http://schemas.microsoft.com/office/drawing/2012/chart" uri="{02D57815-91ED-43cb-92C2-25804820EDAC}">
              <c15:datalabelsRange>
                <c15:f>'4-DR 401-F-HIGI'!$R$19</c15:f>
                <c15:dlblRangeCache>
                  <c:ptCount val="1"/>
                  <c:pt idx="0">
                    <c:v>Secondaire</c:v>
                  </c:pt>
                </c15:dlblRangeCache>
              </c15:datalabelsRange>
            </c:ext>
            <c:ext xmlns:c16="http://schemas.microsoft.com/office/drawing/2014/chart" uri="{C3380CC4-5D6E-409C-BE32-E72D297353CC}">
              <c16:uniqueId val="{00000001-5F61-4F24-BB86-B5EFA728895F}"/>
            </c:ext>
          </c:extLst>
        </c:ser>
        <c:ser>
          <c:idx val="0"/>
          <c:order val="1"/>
          <c:tx>
            <c:strRef>
              <c:f>'4-DR 401-F-HIGI'!$W$18</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BC30FB1D-222C-40E1-B24A-36489E44CB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401-F-HIGI'!$W$19</c:f>
              <c:numCache>
                <c:formatCode>0%</c:formatCode>
                <c:ptCount val="1"/>
                <c:pt idx="0">
                  <c:v>0.2</c:v>
                </c:pt>
              </c:numCache>
            </c:numRef>
          </c:val>
          <c:extLst>
            <c:ext xmlns:c15="http://schemas.microsoft.com/office/drawing/2012/chart" uri="{02D57815-91ED-43cb-92C2-25804820EDAC}">
              <c15:datalabelsRange>
                <c15:f>'4-DR 401-F-HIGI'!$V$19</c15:f>
                <c15:dlblRangeCache>
                  <c:ptCount val="1"/>
                  <c:pt idx="0">
                    <c:v>96%</c:v>
                  </c:pt>
                </c15:dlblRangeCache>
              </c15:datalabelsRange>
            </c:ext>
            <c:ext xmlns:c16="http://schemas.microsoft.com/office/drawing/2014/chart" uri="{C3380CC4-5D6E-409C-BE32-E72D297353CC}">
              <c16:uniqueId val="{00000004-5F61-4F24-BB86-B5EFA728895F}"/>
            </c:ext>
          </c:extLst>
        </c:ser>
        <c:ser>
          <c:idx val="4"/>
          <c:order val="2"/>
          <c:tx>
            <c:strRef>
              <c:f>'4-DR 401-F-HIGI'!$V$18</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723A97A8-4024-4174-9AAA-01193EF7BBC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401-F-HIGI'!$V$19</c:f>
              <c:numCache>
                <c:formatCode>0%</c:formatCode>
                <c:ptCount val="1"/>
                <c:pt idx="0">
                  <c:v>0.96</c:v>
                </c:pt>
              </c:numCache>
            </c:numRef>
          </c:val>
          <c:extLst>
            <c:ext xmlns:c15="http://schemas.microsoft.com/office/drawing/2012/chart" uri="{02D57815-91ED-43cb-92C2-25804820EDAC}">
              <c15:datalabelsRange>
                <c15:f>'4-DR 401-F-HIGI'!$T$19</c15:f>
                <c15:dlblRangeCache>
                  <c:ptCount val="1"/>
                  <c:pt idx="0">
                    <c:v>48 L</c:v>
                  </c:pt>
                </c15:dlblRangeCache>
              </c15:datalabelsRange>
            </c:ext>
            <c:ext xmlns:c16="http://schemas.microsoft.com/office/drawing/2014/chart" uri="{C3380CC4-5D6E-409C-BE32-E72D297353CC}">
              <c16:uniqueId val="{00000006-5F61-4F24-BB86-B5EFA728895F}"/>
            </c:ext>
          </c:extLst>
        </c:ser>
        <c:ser>
          <c:idx val="2"/>
          <c:order val="3"/>
          <c:tx>
            <c:strRef>
              <c:f>'4-DR 401-F-HIGI'!$U$18</c:f>
              <c:strCache>
                <c:ptCount val="1"/>
                <c:pt idx="0">
                  <c:v>Transparent</c:v>
                </c:pt>
              </c:strCache>
            </c:strRef>
          </c:tx>
          <c:spPr>
            <a:solidFill>
              <a:srgbClr val="FFFFFF">
                <a:alpha val="20000"/>
              </a:srgbClr>
            </a:solidFill>
            <a:ln>
              <a:noFill/>
            </a:ln>
            <a:effectLst/>
            <a:sp3d/>
          </c:spPr>
          <c:invertIfNegative val="0"/>
          <c:val>
            <c:numRef>
              <c:f>'4-DR 401-F-HIGI'!$U$19</c:f>
              <c:numCache>
                <c:formatCode>0%</c:formatCode>
                <c:ptCount val="1"/>
                <c:pt idx="0">
                  <c:v>4.0000000000000036E-2</c:v>
                </c:pt>
              </c:numCache>
            </c:numRef>
          </c:val>
          <c:extLst>
            <c:ext xmlns:c16="http://schemas.microsoft.com/office/drawing/2014/chart" uri="{C3380CC4-5D6E-409C-BE32-E72D297353CC}">
              <c16:uniqueId val="{00000007-5F61-4F24-BB86-B5EFA728895F}"/>
            </c:ext>
          </c:extLst>
        </c:ser>
        <c:ser>
          <c:idx val="3"/>
          <c:order val="4"/>
          <c:tx>
            <c:strRef>
              <c:f>'4-DR 401-F-HIGI'!$Y$18</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7806984996518155E-2"/>
                  <c:y val="-5.8668005207696879E-3"/>
                </c:manualLayout>
              </c:layout>
              <c:tx>
                <c:rich>
                  <a:bodyPr/>
                  <a:lstStyle/>
                  <a:p>
                    <a:fld id="{3039239F-3B88-4CD7-9713-BFF7791D326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640513661464622"/>
                      <c:h val="9.737963534234246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'4-DR 401-F-HIGI'!$Y$19</c:f>
              <c:numCache>
                <c:formatCode>0%</c:formatCode>
                <c:ptCount val="1"/>
                <c:pt idx="0">
                  <c:v>0.2</c:v>
                </c:pt>
              </c:numCache>
            </c:numRef>
          </c:val>
          <c:extLst>
            <c:ext xmlns:c15="http://schemas.microsoft.com/office/drawing/2012/chart" uri="{02D57815-91ED-43cb-92C2-25804820EDAC}">
              <c15:datalabelsRange>
                <c15:f>'4-DR 401-F-HIGI'!$S$19</c15:f>
                <c15:dlblRangeCache>
                  <c:ptCount val="1"/>
                  <c:pt idx="0">
                    <c:v>Maxi 50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7F1-4D12-A786-9A7877490961}"/>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7F1-4D12-A786-9A7877490961}"/>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7F1-4D12-A786-9A7877490961}"/>
                </c:ext>
              </c:extLst>
            </c:dLbl>
            <c:spPr>
              <a:noFill/>
              <a:ln w="25400">
                <a:noFill/>
              </a:ln>
            </c:spPr>
            <c:txPr>
              <a:bodyPr rot="0" wrap="square" lIns="38100" tIns="19050" rIns="38100" bIns="19050" anchor="ctr" anchorCtr="1">
                <a:spAutoFit/>
              </a:bodyPr>
              <a:lstStyle/>
              <a:p>
                <a:pPr>
                  <a:defRPr sz="1300" b="0" i="0" u="none" strike="noStrike" baseline="0">
                    <a:solidFill>
                      <a:schemeClr val="tx1"/>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'5-AQUILA AT01-F-GRFY'!$I$7:$I$10</c:f>
              <c:numCache>
                <c:formatCode>0.00</c:formatCode>
                <c:ptCount val="4"/>
                <c:pt idx="0">
                  <c:v>230.09345999999999</c:v>
                </c:pt>
                <c:pt idx="1">
                  <c:v>315</c:v>
                </c:pt>
                <c:pt idx="2">
                  <c:v>393.2</c:v>
                </c:pt>
                <c:pt idx="3">
                  <c:v>291.06</c:v>
                </c:pt>
              </c:numCache>
            </c:numRef>
          </c:xVal>
          <c:yVal>
            <c:numRef>
              <c:f>'5-AQUILA AT01-F-GRFY'!$J$7:$J$10</c:f>
              <c:numCache>
                <c:formatCode>#\ ##0" kg"</c:formatCode>
                <c:ptCount val="4"/>
                <c:pt idx="0">
                  <c:v>519</c:v>
                </c:pt>
                <c:pt idx="1">
                  <c:v>750</c:v>
                </c:pt>
                <c:pt idx="2">
                  <c:v>750</c:v>
                </c:pt>
                <c:pt idx="3">
                  <c:v>519</c:v>
                </c:pt>
              </c:numCache>
            </c:numRef>
          </c:yVal>
          <c:smooth val="0"/>
          <c:extLst>
            <c:ext xmlns:c16="http://schemas.microsoft.com/office/drawing/2014/chart" uri="{C3380CC4-5D6E-409C-BE32-E72D297353CC}">
              <c16:uniqueId val="{00000007-D7F1-4D12-A786-9A7877490961}"/>
            </c:ext>
          </c:extLst>
        </c:ser>
        <c:ser>
          <c:idx val="2"/>
          <c:order val="1"/>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1-D7F1-4D12-A786-9A7877490961}"/>
              </c:ext>
            </c:extLst>
          </c:dPt>
          <c:dPt>
            <c:idx val="1"/>
            <c:bubble3D val="0"/>
            <c:extLst>
              <c:ext xmlns:c16="http://schemas.microsoft.com/office/drawing/2014/chart" uri="{C3380CC4-5D6E-409C-BE32-E72D297353CC}">
                <c16:uniqueId val="{00000002-D7F1-4D12-A786-9A7877490961}"/>
              </c:ext>
            </c:extLst>
          </c:dPt>
          <c:dLbls>
            <c:dLbl>
              <c:idx val="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1-D7F1-4D12-A786-9A7877490961}"/>
                </c:ext>
              </c:extLst>
            </c:dLbl>
            <c:dLbl>
              <c:idx val="1"/>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2-D7F1-4D12-A786-9A7877490961}"/>
                </c:ext>
              </c:extLst>
            </c:dLbl>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'5-AQUILA AT01-F-GRFY'!$I$11:$I$12</c:f>
              <c:numCache>
                <c:formatCode>0.00</c:formatCode>
                <c:ptCount val="2"/>
                <c:pt idx="0">
                  <c:v>329.24705999999998</c:v>
                </c:pt>
                <c:pt idx="1">
                  <c:v>322.94605200000001</c:v>
                </c:pt>
              </c:numCache>
            </c:numRef>
          </c:xVal>
          <c:yVal>
            <c:numRef>
              <c:f>'5-AQUILA AT01-F-GRFY'!$J$11:$J$12</c:f>
              <c:numCache>
                <c:formatCode>#\ #00" kg"</c:formatCode>
                <c:ptCount val="2"/>
                <c:pt idx="0">
                  <c:v>722.4</c:v>
                </c:pt>
                <c:pt idx="1">
                  <c:v>703.24800000000005</c:v>
                </c:pt>
              </c:numCache>
            </c:numRef>
          </c:yVal>
          <c:smooth val="0"/>
          <c:extLst>
            <c:ext xmlns:c16="http://schemas.microsoft.com/office/drawing/2014/chart" uri="{C3380CC4-5D6E-409C-BE32-E72D297353CC}">
              <c16:uniqueId val="{00000003-D7F1-4D12-A786-9A7877490961}"/>
            </c:ext>
          </c:extLst>
        </c:ser>
        <c:ser>
          <c:idx val="0"/>
          <c:order val="2"/>
          <c:tx>
            <c:v>Axe médian centrage</c:v>
          </c:tx>
          <c:marker>
            <c:symbol val="none"/>
          </c:marker>
          <c:xVal>
            <c:numRef>
              <c:f>'5-AQUILA AT01-F-GRFY'!$R$28:$R$29</c:f>
              <c:numCache>
                <c:formatCode>General</c:formatCode>
                <c:ptCount val="2"/>
              </c:numCache>
            </c:numRef>
          </c:xVal>
          <c:yVal>
            <c:numRef>
              <c:f>'5-AQUILA AT01-F-GRFY'!$Q$28:$Q$29</c:f>
            </c:numRef>
          </c:yVal>
          <c:smooth val="0"/>
          <c:extLst>
            <c:ext xmlns:c16="http://schemas.microsoft.com/office/drawing/2014/chart" uri="{C3380CC4-5D6E-409C-BE32-E72D297353CC}">
              <c16:uniqueId val="{0000000A-D7F1-4D12-A786-9A7877490961}"/>
            </c:ext>
          </c:extLst>
        </c:ser>
        <c:dLbls>
          <c:showLegendKey val="0"/>
          <c:showVal val="0"/>
          <c:showCatName val="0"/>
          <c:showSerName val="0"/>
          <c:showPercent val="0"/>
          <c:showBubbleSize val="0"/>
        </c:dLbls>
        <c:axId val="563522336"/>
        <c:axId val="1"/>
      </c:scatterChart>
      <c:valAx>
        <c:axId val="563522336"/>
        <c:scaling>
          <c:orientation val="minMax"/>
          <c:max val="420"/>
          <c:min val="2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20"/>
        <c:minorUnit val="10"/>
      </c:valAx>
      <c:valAx>
        <c:axId val="1"/>
        <c:scaling>
          <c:orientation val="minMax"/>
          <c:max val="800"/>
          <c:min val="5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25"/>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'5-AQUILA AT01-F-GRFY'!$X$15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3931188947773929E-2"/>
                  <c:y val="-6.187273453638383E-3"/>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130EBB43-322B-43AC-97E7-5867449C9C8C}"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6833394279936554"/>
                      <c:h val="0.11259524691117431"/>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AT01-F-GRFY'!$X$16</c:f>
              <c:numCache>
                <c:formatCode>0%</c:formatCode>
                <c:ptCount val="1"/>
                <c:pt idx="0">
                  <c:v>0.2</c:v>
                </c:pt>
              </c:numCache>
            </c:numRef>
          </c:val>
          <c:extLst>
            <c:ext xmlns:c15="http://schemas.microsoft.com/office/drawing/2012/chart" uri="{02D57815-91ED-43cb-92C2-25804820EDAC}">
              <c15:datalabelsRange>
                <c15:f>'5-AQUILA AT01-F-GRFY'!$R$16</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'5-AQUILA AT01-F-GRFY'!$W$15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F1647E76-EBFB-4FC3-8879-90A301F222C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AT01-F-GRFY'!$W$16</c:f>
              <c:numCache>
                <c:formatCode>0%</c:formatCode>
                <c:ptCount val="1"/>
                <c:pt idx="0">
                  <c:v>0.2</c:v>
                </c:pt>
              </c:numCache>
            </c:numRef>
          </c:val>
          <c:extLst>
            <c:ext xmlns:c15="http://schemas.microsoft.com/office/drawing/2012/chart" uri="{02D57815-91ED-43cb-92C2-25804820EDAC}">
              <c15:datalabelsRange>
                <c15:f>'5-AQUILA AT01-F-GRFY'!$V$16</c15:f>
                <c15:dlblRangeCache>
                  <c:ptCount val="1"/>
                  <c:pt idx="0">
                    <c:v>33%</c:v>
                  </c:pt>
                </c15:dlblRangeCache>
              </c15:datalabelsRange>
            </c:ext>
            <c:ext xmlns:c16="http://schemas.microsoft.com/office/drawing/2014/chart" uri="{C3380CC4-5D6E-409C-BE32-E72D297353CC}">
              <c16:uniqueId val="{00000004-5F61-4F24-BB86-B5EFA728895F}"/>
            </c:ext>
          </c:extLst>
        </c:ser>
        <c:ser>
          <c:idx val="4"/>
          <c:order val="2"/>
          <c:tx>
            <c:strRef>
              <c:f>'5-AQUILA AT01-F-GRFY'!$V$15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F125ECCE-389A-4646-877C-69FB0738516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AT01-F-GRFY'!$V$16</c:f>
              <c:numCache>
                <c:formatCode>0%</c:formatCode>
                <c:ptCount val="1"/>
                <c:pt idx="0">
                  <c:v>0.33333333333333331</c:v>
                </c:pt>
              </c:numCache>
            </c:numRef>
          </c:val>
          <c:extLst>
            <c:ext xmlns:c15="http://schemas.microsoft.com/office/drawing/2012/chart" uri="{02D57815-91ED-43cb-92C2-25804820EDAC}">
              <c15:datalabelsRange>
                <c15:f>'5-AQUILA AT01-F-GRFY'!$T$16</c15:f>
                <c15:dlblRangeCache>
                  <c:ptCount val="1"/>
                  <c:pt idx="0">
                    <c:v>20 L</c:v>
                  </c:pt>
                </c15:dlblRangeCache>
              </c15:datalabelsRange>
            </c:ext>
            <c:ext xmlns:c16="http://schemas.microsoft.com/office/drawing/2014/chart" uri="{C3380CC4-5D6E-409C-BE32-E72D297353CC}">
              <c16:uniqueId val="{00000006-5F61-4F24-BB86-B5EFA728895F}"/>
            </c:ext>
          </c:extLst>
        </c:ser>
        <c:ser>
          <c:idx val="2"/>
          <c:order val="3"/>
          <c:tx>
            <c:strRef>
              <c:f>'5-AQUILA AT01-F-GRFY'!$U$15</c:f>
              <c:strCache>
                <c:ptCount val="1"/>
                <c:pt idx="0">
                  <c:v>Transparent</c:v>
                </c:pt>
              </c:strCache>
            </c:strRef>
          </c:tx>
          <c:spPr>
            <a:solidFill>
              <a:srgbClr val="FFFFFF">
                <a:alpha val="20000"/>
              </a:srgbClr>
            </a:solidFill>
            <a:ln>
              <a:noFill/>
            </a:ln>
            <a:effectLst/>
            <a:sp3d/>
          </c:spPr>
          <c:invertIfNegative val="0"/>
          <c:val>
            <c:numRef>
              <c:f>'5-AQUILA AT01-F-GRFY'!$U$16</c:f>
              <c:numCache>
                <c:formatCode>0%</c:formatCode>
                <c:ptCount val="1"/>
                <c:pt idx="0">
                  <c:v>0.66666666666666674</c:v>
                </c:pt>
              </c:numCache>
            </c:numRef>
          </c:val>
          <c:extLst>
            <c:ext xmlns:c16="http://schemas.microsoft.com/office/drawing/2014/chart" uri="{C3380CC4-5D6E-409C-BE32-E72D297353CC}">
              <c16:uniqueId val="{00000007-5F61-4F24-BB86-B5EFA728895F}"/>
            </c:ext>
          </c:extLst>
        </c:ser>
        <c:ser>
          <c:idx val="3"/>
          <c:order val="4"/>
          <c:tx>
            <c:strRef>
              <c:f>'5-AQUILA AT01-F-GRFY'!$Y$15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5.0231686983998908E-2"/>
                  <c:y val="-3.093697626378766E-3"/>
                </c:manualLayout>
              </c:layout>
              <c:tx>
                <c:rich>
                  <a:bodyPr/>
                  <a:lstStyle/>
                  <a:p>
                    <a:fld id="{67CD47E2-E10A-439F-8794-E02E4A0C2E1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0136639048326874"/>
                      <c:h val="9.878176521027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AT01-F-GRFY'!$Y$16</c:f>
              <c:numCache>
                <c:formatCode>0%</c:formatCode>
                <c:ptCount val="1"/>
                <c:pt idx="0">
                  <c:v>0.2</c:v>
                </c:pt>
              </c:numCache>
            </c:numRef>
          </c:val>
          <c:extLst>
            <c:ext xmlns:c15="http://schemas.microsoft.com/office/drawing/2012/chart" uri="{02D57815-91ED-43cb-92C2-25804820EDAC}">
              <c15:datalabelsRange>
                <c15:f>'5-AQUILA AT01-F-GRFY'!$S$16</c15:f>
                <c15:dlblRangeCache>
                  <c:ptCount val="1"/>
                  <c:pt idx="0">
                    <c:v>Maxi 60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'5-AQUILA AT01-F-GRFY'!$X$17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8.2209249511545443E-2"/>
                  <c:y val="-1.1340794167754427E-16"/>
                </c:manualLayout>
              </c:layout>
              <c:tx>
                <c:rich>
                  <a:bodyPr/>
                  <a:lstStyle/>
                  <a:p>
                    <a:fld id="{B57A1391-843F-4DB9-ADDD-926CBD52EE5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100871396467597"/>
                      <c:h val="9.8758838432731227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AT01-F-GRFY'!$X$18</c:f>
              <c:numCache>
                <c:formatCode>0%</c:formatCode>
                <c:ptCount val="1"/>
                <c:pt idx="0">
                  <c:v>0.2</c:v>
                </c:pt>
              </c:numCache>
            </c:numRef>
          </c:val>
          <c:extLst>
            <c:ext xmlns:c15="http://schemas.microsoft.com/office/drawing/2012/chart" uri="{02D57815-91ED-43cb-92C2-25804820EDAC}">
              <c15:datalabelsRange>
                <c15:f>'5-AQUILA AT01-F-GRFY'!$R$18</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'5-AQUILA AT01-F-GRFY'!$W$17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618A9753-C701-42C1-91B1-80EBC6867C1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AT01-F-GRFY'!$W$18</c:f>
              <c:numCache>
                <c:formatCode>0%</c:formatCode>
                <c:ptCount val="1"/>
                <c:pt idx="0">
                  <c:v>0.2</c:v>
                </c:pt>
              </c:numCache>
            </c:numRef>
          </c:val>
          <c:extLst>
            <c:ext xmlns:c15="http://schemas.microsoft.com/office/drawing/2012/chart" uri="{02D57815-91ED-43cb-92C2-25804820EDAC}">
              <c15:datalabelsRange>
                <c15:f>'5-AQUILA AT01-F-GRFY'!$V$18</c15:f>
                <c15:dlblRangeCache>
                  <c:ptCount val="1"/>
                  <c:pt idx="0">
                    <c:v>83%</c:v>
                  </c:pt>
                </c15:dlblRangeCache>
              </c15:datalabelsRange>
            </c:ext>
            <c:ext xmlns:c16="http://schemas.microsoft.com/office/drawing/2014/chart" uri="{C3380CC4-5D6E-409C-BE32-E72D297353CC}">
              <c16:uniqueId val="{00000004-5F61-4F24-BB86-B5EFA728895F}"/>
            </c:ext>
          </c:extLst>
        </c:ser>
        <c:ser>
          <c:idx val="4"/>
          <c:order val="2"/>
          <c:tx>
            <c:strRef>
              <c:f>'5-AQUILA AT01-F-GRFY'!$V$17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1C617C05-783B-43F4-97EB-6AF78459478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AT01-F-GRFY'!$V$18</c:f>
              <c:numCache>
                <c:formatCode>0%</c:formatCode>
                <c:ptCount val="1"/>
                <c:pt idx="0">
                  <c:v>0.83333333333333337</c:v>
                </c:pt>
              </c:numCache>
            </c:numRef>
          </c:val>
          <c:extLst>
            <c:ext xmlns:c15="http://schemas.microsoft.com/office/drawing/2012/chart" uri="{02D57815-91ED-43cb-92C2-25804820EDAC}">
              <c15:datalabelsRange>
                <c15:f>'5-AQUILA AT01-F-GRFY'!$T$18</c15:f>
                <c15:dlblRangeCache>
                  <c:ptCount val="1"/>
                  <c:pt idx="0">
                    <c:v>50 L</c:v>
                  </c:pt>
                </c15:dlblRangeCache>
              </c15:datalabelsRange>
            </c:ext>
            <c:ext xmlns:c16="http://schemas.microsoft.com/office/drawing/2014/chart" uri="{C3380CC4-5D6E-409C-BE32-E72D297353CC}">
              <c16:uniqueId val="{00000006-5F61-4F24-BB86-B5EFA728895F}"/>
            </c:ext>
          </c:extLst>
        </c:ser>
        <c:ser>
          <c:idx val="2"/>
          <c:order val="3"/>
          <c:tx>
            <c:strRef>
              <c:f>'5-AQUILA AT01-F-GRFY'!$U$17</c:f>
              <c:strCache>
                <c:ptCount val="1"/>
                <c:pt idx="0">
                  <c:v>Transparent</c:v>
                </c:pt>
              </c:strCache>
            </c:strRef>
          </c:tx>
          <c:spPr>
            <a:solidFill>
              <a:srgbClr val="FFFFFF">
                <a:alpha val="20000"/>
              </a:srgbClr>
            </a:solidFill>
            <a:ln>
              <a:noFill/>
            </a:ln>
            <a:effectLst/>
            <a:sp3d/>
          </c:spPr>
          <c:invertIfNegative val="0"/>
          <c:val>
            <c:numRef>
              <c:f>'5-AQUILA AT01-F-GRFY'!$U$18</c:f>
              <c:numCache>
                <c:formatCode>0%</c:formatCode>
                <c:ptCount val="1"/>
                <c:pt idx="0">
                  <c:v>0.16666666666666663</c:v>
                </c:pt>
              </c:numCache>
            </c:numRef>
          </c:val>
          <c:extLst>
            <c:ext xmlns:c16="http://schemas.microsoft.com/office/drawing/2014/chart" uri="{C3380CC4-5D6E-409C-BE32-E72D297353CC}">
              <c16:uniqueId val="{00000007-5F61-4F24-BB86-B5EFA728895F}"/>
            </c:ext>
          </c:extLst>
        </c:ser>
        <c:ser>
          <c:idx val="3"/>
          <c:order val="4"/>
          <c:tx>
            <c:strRef>
              <c:f>'5-AQUILA AT01-F-GRFY'!$Y$17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074888454707054E-2"/>
                  <c:y val="-3.0929795938845015E-3"/>
                </c:manualLayout>
              </c:layout>
              <c:tx>
                <c:rich>
                  <a:bodyPr/>
                  <a:lstStyle/>
                  <a:p>
                    <a:fld id="{FCDF2673-C92D-45C7-BE00-2BC5BF3A57C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2929195395850483"/>
                      <c:h val="9.8758838432731227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'5-AQUILA AT01-F-GRFY'!$Y$18</c:f>
              <c:numCache>
                <c:formatCode>0%</c:formatCode>
                <c:ptCount val="1"/>
                <c:pt idx="0">
                  <c:v>0.2</c:v>
                </c:pt>
              </c:numCache>
            </c:numRef>
          </c:val>
          <c:extLst>
            <c:ext xmlns:c15="http://schemas.microsoft.com/office/drawing/2012/chart" uri="{02D57815-91ED-43cb-92C2-25804820EDAC}">
              <c15:datalabelsRange>
                <c15:f>'5-AQUILA AT01-F-GRFY'!$S$18</c15:f>
                <c15:dlblRangeCache>
                  <c:ptCount val="1"/>
                  <c:pt idx="0">
                    <c:v>Maxi 60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0"/>
          <c:tx>
            <c:v>Déco</c:v>
          </c:tx>
          <c:spPr>
            <a:ln w="38100">
              <a:solidFill>
                <a:schemeClr val="tx1"/>
              </a:solidFill>
              <a:prstDash val="solid"/>
            </a:ln>
          </c:spPr>
          <c:marker>
            <c:symbol val="circle"/>
            <c:size val="10"/>
            <c:spPr>
              <a:solidFill>
                <a:schemeClr val="tx1"/>
              </a:solidFill>
              <a:ln>
                <a:solidFill>
                  <a:schemeClr val="tx1"/>
                </a:solidFill>
                <a:prstDash val="solid"/>
              </a:ln>
            </c:spPr>
          </c:marker>
          <c:dLbls>
            <c:dLbl>
              <c:idx val="0"/>
              <c:layout>
                <c:manualLayout>
                  <c:x val="-7.8239601270661971E-2"/>
                  <c:y val="-2.4345709068776629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998-48B8-AC0F-338A6A889BCC}"/>
                </c:ext>
              </c:extLst>
            </c:dLbl>
            <c:dLbl>
              <c:idx val="1"/>
              <c:layout>
                <c:manualLayout>
                  <c:x val="-7.9462095040516059E-2"/>
                  <c:y val="-9.7382836275105612E-3"/>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998-48B8-AC0F-338A6A889BCC}"/>
                </c:ext>
              </c:extLst>
            </c:dLbl>
            <c:dLbl>
              <c:idx val="2"/>
              <c:layout>
                <c:manualLayout>
                  <c:x val="-4.278728194489325E-2"/>
                  <c:y val="-4.382227632379794E-2"/>
                </c:manualLayout>
              </c:layout>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998-48B8-AC0F-338A6A889BCC}"/>
                </c:ext>
              </c:extLst>
            </c:dLbl>
            <c:spPr>
              <a:noFill/>
              <a:ln w="25400">
                <a:noFill/>
              </a:ln>
            </c:spPr>
            <c:txPr>
              <a:bodyPr rot="0" wrap="square" lIns="38100" tIns="19050" rIns="38100" bIns="19050" anchor="ctr" anchorCtr="1">
                <a:spAutoFit/>
              </a:bodyPr>
              <a:lstStyle/>
              <a:p>
                <a:pPr>
                  <a:defRPr sz="1300" b="0" i="0" u="none" strike="noStrike" baseline="0">
                    <a:solidFill>
                      <a:schemeClr val="tx1"/>
                    </a:solidFill>
                    <a:latin typeface="Book Antiqua" panose="02040602050305030304" pitchFamily="18" charset="0"/>
                    <a:ea typeface="Arial"/>
                    <a:cs typeface="Arial"/>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'6-AQUILA AT01-F-HDJR'!$I$7:$I$10</c:f>
              <c:numCache>
                <c:formatCode>0.00</c:formatCode>
                <c:ptCount val="4"/>
                <c:pt idx="0">
                  <c:v>231.768</c:v>
                </c:pt>
                <c:pt idx="1">
                  <c:v>315</c:v>
                </c:pt>
                <c:pt idx="2">
                  <c:v>393.2</c:v>
                </c:pt>
                <c:pt idx="3">
                  <c:v>291.06</c:v>
                </c:pt>
              </c:numCache>
            </c:numRef>
          </c:xVal>
          <c:yVal>
            <c:numRef>
              <c:f>'6-AQUILA AT01-F-HDJR'!$J$7:$J$10</c:f>
              <c:numCache>
                <c:formatCode>#\ ##0" kg"</c:formatCode>
                <c:ptCount val="4"/>
                <c:pt idx="0">
                  <c:v>522</c:v>
                </c:pt>
                <c:pt idx="1">
                  <c:v>750</c:v>
                </c:pt>
                <c:pt idx="2">
                  <c:v>750</c:v>
                </c:pt>
                <c:pt idx="3">
                  <c:v>522</c:v>
                </c:pt>
              </c:numCache>
            </c:numRef>
          </c:yVal>
          <c:smooth val="0"/>
          <c:extLst>
            <c:ext xmlns:c16="http://schemas.microsoft.com/office/drawing/2014/chart" uri="{C3380CC4-5D6E-409C-BE32-E72D297353CC}">
              <c16:uniqueId val="{00000003-1998-48B8-AC0F-338A6A889BCC}"/>
            </c:ext>
          </c:extLst>
        </c:ser>
        <c:ser>
          <c:idx val="2"/>
          <c:order val="1"/>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5-1998-48B8-AC0F-338A6A889BCC}"/>
              </c:ext>
            </c:extLst>
          </c:dPt>
          <c:dPt>
            <c:idx val="1"/>
            <c:bubble3D val="0"/>
            <c:extLst>
              <c:ext xmlns:c16="http://schemas.microsoft.com/office/drawing/2014/chart" uri="{C3380CC4-5D6E-409C-BE32-E72D297353CC}">
                <c16:uniqueId val="{00000006-1998-48B8-AC0F-338A6A889BCC}"/>
              </c:ext>
            </c:extLst>
          </c:dPt>
          <c:dLbls>
            <c:dLbl>
              <c:idx val="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1998-48B8-AC0F-338A6A889BCC}"/>
                </c:ext>
              </c:extLst>
            </c:dLbl>
            <c:dLbl>
              <c:idx val="1"/>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1998-48B8-AC0F-338A6A889BCC}"/>
                </c:ext>
              </c:extLst>
            </c:dLbl>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'6-AQUILA AT01-F-HDJR'!$I$11:$I$12</c:f>
              <c:numCache>
                <c:formatCode>0.00</c:formatCode>
                <c:ptCount val="2"/>
                <c:pt idx="0">
                  <c:v>333.29039999999998</c:v>
                </c:pt>
                <c:pt idx="1">
                  <c:v>322.01491199999998</c:v>
                </c:pt>
              </c:numCache>
            </c:numRef>
          </c:xVal>
          <c:yVal>
            <c:numRef>
              <c:f>'6-AQUILA AT01-F-HDJR'!$J$11:$J$12</c:f>
              <c:numCache>
                <c:formatCode>#\ #00" kg"</c:formatCode>
                <c:ptCount val="2"/>
                <c:pt idx="0">
                  <c:v>732.6</c:v>
                </c:pt>
                <c:pt idx="1">
                  <c:v>698.32799999999997</c:v>
                </c:pt>
              </c:numCache>
            </c:numRef>
          </c:yVal>
          <c:smooth val="0"/>
          <c:extLst>
            <c:ext xmlns:c16="http://schemas.microsoft.com/office/drawing/2014/chart" uri="{C3380CC4-5D6E-409C-BE32-E72D297353CC}">
              <c16:uniqueId val="{00000007-1998-48B8-AC0F-338A6A889BCC}"/>
            </c:ext>
          </c:extLst>
        </c:ser>
        <c:ser>
          <c:idx val="0"/>
          <c:order val="2"/>
          <c:tx>
            <c:v>Axe médian centrage</c:v>
          </c:tx>
          <c:marker>
            <c:symbol val="none"/>
          </c:marker>
          <c:xVal>
            <c:numRef>
              <c:f>'5-AQUILA AT01-F-GRFY'!$R$28:$R$29</c:f>
              <c:numCache>
                <c:formatCode>General</c:formatCode>
                <c:ptCount val="2"/>
              </c:numCache>
            </c:numRef>
          </c:xVal>
          <c:yVal>
            <c:numRef>
              <c:f>'5-AQUILA AT01-F-GRFY'!$Q$28:$Q$29</c:f>
            </c:numRef>
          </c:yVal>
          <c:smooth val="0"/>
          <c:extLst>
            <c:ext xmlns:c16="http://schemas.microsoft.com/office/drawing/2014/chart" uri="{C3380CC4-5D6E-409C-BE32-E72D297353CC}">
              <c16:uniqueId val="{00000008-1998-48B8-AC0F-338A6A889BCC}"/>
            </c:ext>
          </c:extLst>
        </c:ser>
        <c:dLbls>
          <c:showLegendKey val="0"/>
          <c:showVal val="0"/>
          <c:showCatName val="0"/>
          <c:showSerName val="0"/>
          <c:showPercent val="0"/>
          <c:showBubbleSize val="0"/>
        </c:dLbls>
        <c:axId val="563522336"/>
        <c:axId val="1"/>
      </c:scatterChart>
      <c:valAx>
        <c:axId val="563522336"/>
        <c:scaling>
          <c:orientation val="minMax"/>
          <c:max val="420"/>
          <c:min val="200"/>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20"/>
        <c:minorUnit val="10"/>
      </c:valAx>
      <c:valAx>
        <c:axId val="1"/>
        <c:scaling>
          <c:orientation val="minMax"/>
          <c:max val="800"/>
          <c:min val="5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25"/>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'6-AQUILA AT01-F-HDJR'!$X$15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3931188947773929E-2"/>
                  <c:y val="-6.187273453638383E-3"/>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7E5D88B1-CC85-4B75-A52B-2983447D7775}"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6833394279936554"/>
                      <c:h val="0.11259524691117431"/>
                    </c:manualLayout>
                  </c15:layout>
                  <c15:dlblFieldTable/>
                  <c15:showDataLabelsRange val="1"/>
                </c:ext>
                <c:ext xmlns:c16="http://schemas.microsoft.com/office/drawing/2014/chart" uri="{C3380CC4-5D6E-409C-BE32-E72D297353CC}">
                  <c16:uniqueId val="{00000000-CF5C-4062-B102-E61B153FE6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AT01-F-HDJR'!$X$16</c:f>
              <c:numCache>
                <c:formatCode>0%</c:formatCode>
                <c:ptCount val="1"/>
                <c:pt idx="0">
                  <c:v>0.2</c:v>
                </c:pt>
              </c:numCache>
            </c:numRef>
          </c:val>
          <c:extLst>
            <c:ext xmlns:c15="http://schemas.microsoft.com/office/drawing/2012/chart" uri="{02D57815-91ED-43cb-92C2-25804820EDAC}">
              <c15:datalabelsRange>
                <c15:f>'6-AQUILA AT01-F-HDJR'!$R$16</c15:f>
                <c15:dlblRangeCache>
                  <c:ptCount val="1"/>
                  <c:pt idx="0">
                    <c:v>Aile gauche</c:v>
                  </c:pt>
                </c15:dlblRangeCache>
              </c15:datalabelsRange>
            </c:ext>
            <c:ext xmlns:c16="http://schemas.microsoft.com/office/drawing/2014/chart" uri="{C3380CC4-5D6E-409C-BE32-E72D297353CC}">
              <c16:uniqueId val="{00000001-CF5C-4062-B102-E61B153FE610}"/>
            </c:ext>
          </c:extLst>
        </c:ser>
        <c:ser>
          <c:idx val="0"/>
          <c:order val="1"/>
          <c:tx>
            <c:strRef>
              <c:f>'6-AQUILA AT01-F-HDJR'!$W$15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CF5C-4062-B102-E61B153FE610}"/>
              </c:ext>
            </c:extLst>
          </c:dPt>
          <c:dLbls>
            <c:dLbl>
              <c:idx val="0"/>
              <c:tx>
                <c:rich>
                  <a:bodyPr/>
                  <a:lstStyle/>
                  <a:p>
                    <a:fld id="{8265C5F4-9E2C-46BE-ADD9-A52FB1AD735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F5C-4062-B102-E61B153FE61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AT01-F-HDJR'!$W$16</c:f>
              <c:numCache>
                <c:formatCode>0%</c:formatCode>
                <c:ptCount val="1"/>
                <c:pt idx="0">
                  <c:v>0.2</c:v>
                </c:pt>
              </c:numCache>
            </c:numRef>
          </c:val>
          <c:extLst>
            <c:ext xmlns:c15="http://schemas.microsoft.com/office/drawing/2012/chart" uri="{02D57815-91ED-43cb-92C2-25804820EDAC}">
              <c15:datalabelsRange>
                <c15:f>'6-AQUILA AT01-F-HDJR'!$V$16</c15:f>
                <c15:dlblRangeCache>
                  <c:ptCount val="1"/>
                  <c:pt idx="0">
                    <c:v>83%</c:v>
                  </c:pt>
                </c15:dlblRangeCache>
              </c15:datalabelsRange>
            </c:ext>
            <c:ext xmlns:c16="http://schemas.microsoft.com/office/drawing/2014/chart" uri="{C3380CC4-5D6E-409C-BE32-E72D297353CC}">
              <c16:uniqueId val="{00000004-CF5C-4062-B102-E61B153FE610}"/>
            </c:ext>
          </c:extLst>
        </c:ser>
        <c:ser>
          <c:idx val="4"/>
          <c:order val="2"/>
          <c:tx>
            <c:strRef>
              <c:f>'6-AQUILA AT01-F-HDJR'!$V$15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AAF22991-E82E-4F61-8F07-4581C8B5D9F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F5C-4062-B102-E61B153FE61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AT01-F-HDJR'!$V$16</c:f>
              <c:numCache>
                <c:formatCode>0%</c:formatCode>
                <c:ptCount val="1"/>
                <c:pt idx="0">
                  <c:v>0.83333333333333337</c:v>
                </c:pt>
              </c:numCache>
            </c:numRef>
          </c:val>
          <c:extLst>
            <c:ext xmlns:c15="http://schemas.microsoft.com/office/drawing/2012/chart" uri="{02D57815-91ED-43cb-92C2-25804820EDAC}">
              <c15:datalabelsRange>
                <c15:f>'6-AQUILA AT01-F-HDJR'!$T$16</c15:f>
                <c15:dlblRangeCache>
                  <c:ptCount val="1"/>
                  <c:pt idx="0">
                    <c:v>50 L</c:v>
                  </c:pt>
                </c15:dlblRangeCache>
              </c15:datalabelsRange>
            </c:ext>
            <c:ext xmlns:c16="http://schemas.microsoft.com/office/drawing/2014/chart" uri="{C3380CC4-5D6E-409C-BE32-E72D297353CC}">
              <c16:uniqueId val="{00000006-CF5C-4062-B102-E61B153FE610}"/>
            </c:ext>
          </c:extLst>
        </c:ser>
        <c:ser>
          <c:idx val="2"/>
          <c:order val="3"/>
          <c:tx>
            <c:strRef>
              <c:f>'6-AQUILA AT01-F-HDJR'!$U$15</c:f>
              <c:strCache>
                <c:ptCount val="1"/>
                <c:pt idx="0">
                  <c:v>Transparent</c:v>
                </c:pt>
              </c:strCache>
            </c:strRef>
          </c:tx>
          <c:spPr>
            <a:solidFill>
              <a:srgbClr val="FFFFFF">
                <a:alpha val="20000"/>
              </a:srgbClr>
            </a:solidFill>
            <a:ln>
              <a:noFill/>
            </a:ln>
            <a:effectLst/>
            <a:sp3d/>
          </c:spPr>
          <c:invertIfNegative val="0"/>
          <c:val>
            <c:numRef>
              <c:f>'6-AQUILA AT01-F-HDJR'!$U$16</c:f>
              <c:numCache>
                <c:formatCode>0%</c:formatCode>
                <c:ptCount val="1"/>
                <c:pt idx="0">
                  <c:v>0.16666666666666663</c:v>
                </c:pt>
              </c:numCache>
            </c:numRef>
          </c:val>
          <c:extLst>
            <c:ext xmlns:c16="http://schemas.microsoft.com/office/drawing/2014/chart" uri="{C3380CC4-5D6E-409C-BE32-E72D297353CC}">
              <c16:uniqueId val="{00000007-CF5C-4062-B102-E61B153FE610}"/>
            </c:ext>
          </c:extLst>
        </c:ser>
        <c:ser>
          <c:idx val="3"/>
          <c:order val="4"/>
          <c:tx>
            <c:strRef>
              <c:f>'6-AQUILA AT01-F-HDJR'!$Y$15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5.0231686983998908E-2"/>
                  <c:y val="-3.093697626378766E-3"/>
                </c:manualLayout>
              </c:layout>
              <c:tx>
                <c:rich>
                  <a:bodyPr/>
                  <a:lstStyle/>
                  <a:p>
                    <a:fld id="{B0C9FB33-E36B-44FC-A93F-E483D86570F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0136639048326874"/>
                      <c:h val="9.8781765210274E-2"/>
                    </c:manualLayout>
                  </c15:layout>
                  <c15:dlblFieldTable/>
                  <c15:showDataLabelsRange val="1"/>
                </c:ext>
                <c:ext xmlns:c16="http://schemas.microsoft.com/office/drawing/2014/chart" uri="{C3380CC4-5D6E-409C-BE32-E72D297353CC}">
                  <c16:uniqueId val="{00000008-CF5C-4062-B102-E61B153FE6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AT01-F-HDJR'!$Y$16</c:f>
              <c:numCache>
                <c:formatCode>0%</c:formatCode>
                <c:ptCount val="1"/>
                <c:pt idx="0">
                  <c:v>0.2</c:v>
                </c:pt>
              </c:numCache>
            </c:numRef>
          </c:val>
          <c:extLst>
            <c:ext xmlns:c15="http://schemas.microsoft.com/office/drawing/2012/chart" uri="{02D57815-91ED-43cb-92C2-25804820EDAC}">
              <c15:datalabelsRange>
                <c15:f>'6-AQUILA AT01-F-HDJR'!$S$16</c15:f>
                <c15:dlblRangeCache>
                  <c:ptCount val="1"/>
                  <c:pt idx="0">
                    <c:v>Maxi 60 L</c:v>
                  </c:pt>
                </c15:dlblRangeCache>
              </c15:datalabelsRange>
            </c:ext>
            <c:ext xmlns:c16="http://schemas.microsoft.com/office/drawing/2014/chart" uri="{C3380CC4-5D6E-409C-BE32-E72D297353CC}">
              <c16:uniqueId val="{00000009-CF5C-4062-B102-E61B153FE610}"/>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'1-PA18-F-GLLN'!$AA$19</c:f>
              <c:strCache>
                <c:ptCount val="1"/>
                <c:pt idx="0">
                  <c:v>Bas</c:v>
                </c:pt>
              </c:strCache>
            </c:strRef>
          </c:tx>
          <c:spPr>
            <a:solidFill>
              <a:schemeClr val="accent5">
                <a:lumMod val="20000"/>
                <a:lumOff val="80000"/>
              </a:schemeClr>
            </a:solidFill>
            <a:ln>
              <a:noFill/>
            </a:ln>
            <a:effectLst/>
            <a:sp3d/>
          </c:spPr>
          <c:invertIfNegative val="0"/>
          <c:dLbls>
            <c:dLbl>
              <c:idx val="0"/>
              <c:layout>
                <c:manualLayout>
                  <c:x val="6.4045784450994708E-2"/>
                  <c:y val="-3.0617731016260503E-3"/>
                </c:manualLayout>
              </c:layout>
              <c:tx>
                <c:rich>
                  <a:bodyPr/>
                  <a:lstStyle/>
                  <a:p>
                    <a:fld id="{7E87CB53-8560-4CB6-BCD8-4EAD9B44FFE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0101810464101401"/>
                      <c:h val="0.14205667637471789"/>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'1-PA18-F-GLLN'!$AA$20</c:f>
              <c:numCache>
                <c:formatCode>0%</c:formatCode>
                <c:ptCount val="1"/>
                <c:pt idx="0">
                  <c:v>0.2</c:v>
                </c:pt>
              </c:numCache>
            </c:numRef>
          </c:val>
          <c:extLst>
            <c:ext xmlns:c15="http://schemas.microsoft.com/office/drawing/2012/chart" uri="{02D57815-91ED-43cb-92C2-25804820EDAC}">
              <c15:datalabelsRange>
                <c15:f>'1-PA18-F-GLLN'!$T$20</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'1-PA18-F-GLLN'!$Z$19</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E72D0803-B703-4952-8610-0E9637E5EFE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'1-PA18-F-GLLN'!$Z$20</c:f>
              <c:numCache>
                <c:formatCode>0%</c:formatCode>
                <c:ptCount val="1"/>
                <c:pt idx="0">
                  <c:v>0.2</c:v>
                </c:pt>
              </c:numCache>
            </c:numRef>
          </c:val>
          <c:extLst>
            <c:ext xmlns:c15="http://schemas.microsoft.com/office/drawing/2012/chart" uri="{02D57815-91ED-43cb-92C2-25804820EDAC}">
              <c15:datalabelsRange>
                <c15:f>'1-PA18-F-GLLN'!$Y$20</c15:f>
                <c15:dlblRangeCache>
                  <c:ptCount val="1"/>
                  <c:pt idx="0">
                    <c:v>38%</c:v>
                  </c:pt>
                </c15:dlblRangeCache>
              </c15:datalabelsRange>
            </c:ext>
            <c:ext xmlns:c16="http://schemas.microsoft.com/office/drawing/2014/chart" uri="{C3380CC4-5D6E-409C-BE32-E72D297353CC}">
              <c16:uniqueId val="{00000004-5F61-4F24-BB86-B5EFA728895F}"/>
            </c:ext>
          </c:extLst>
        </c:ser>
        <c:ser>
          <c:idx val="4"/>
          <c:order val="2"/>
          <c:tx>
            <c:strRef>
              <c:f>'1-PA18-F-GLLN'!$Y$19</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2E1FD9B5-99A3-4EA4-95E3-FEDD9DE0B86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'1-PA18-F-GLLN'!$Y$20</c:f>
              <c:numCache>
                <c:formatCode>0%</c:formatCode>
                <c:ptCount val="1"/>
                <c:pt idx="0">
                  <c:v>0.38461538461538464</c:v>
                </c:pt>
              </c:numCache>
            </c:numRef>
          </c:val>
          <c:extLst>
            <c:ext xmlns:c15="http://schemas.microsoft.com/office/drawing/2012/chart" uri="{02D57815-91ED-43cb-92C2-25804820EDAC}">
              <c15:datalabelsRange>
                <c15:f>'1-PA18-F-GLLN'!$V$20</c15:f>
                <c15:dlblRangeCache>
                  <c:ptCount val="1"/>
                  <c:pt idx="0">
                    <c:v>25 L</c:v>
                  </c:pt>
                </c15:dlblRangeCache>
              </c15:datalabelsRange>
            </c:ext>
            <c:ext xmlns:c16="http://schemas.microsoft.com/office/drawing/2014/chart" uri="{C3380CC4-5D6E-409C-BE32-E72D297353CC}">
              <c16:uniqueId val="{00000006-5F61-4F24-BB86-B5EFA728895F}"/>
            </c:ext>
          </c:extLst>
        </c:ser>
        <c:ser>
          <c:idx val="2"/>
          <c:order val="3"/>
          <c:tx>
            <c:strRef>
              <c:f>'1-PA18-F-GLLN'!$X$19</c:f>
              <c:strCache>
                <c:ptCount val="1"/>
                <c:pt idx="0">
                  <c:v>Transparent</c:v>
                </c:pt>
              </c:strCache>
            </c:strRef>
          </c:tx>
          <c:spPr>
            <a:solidFill>
              <a:srgbClr val="FFFFFF">
                <a:alpha val="20000"/>
              </a:srgbClr>
            </a:solidFill>
            <a:ln>
              <a:noFill/>
            </a:ln>
            <a:effectLst/>
            <a:sp3d/>
          </c:spPr>
          <c:invertIfNegative val="0"/>
          <c:val>
            <c:numRef>
              <c:f>'1-PA18-F-GLLN'!$X$20</c:f>
              <c:numCache>
                <c:formatCode>0%</c:formatCode>
                <c:ptCount val="1"/>
                <c:pt idx="0">
                  <c:v>0.61538461538461542</c:v>
                </c:pt>
              </c:numCache>
            </c:numRef>
          </c:val>
          <c:extLst>
            <c:ext xmlns:c16="http://schemas.microsoft.com/office/drawing/2014/chart" uri="{C3380CC4-5D6E-409C-BE32-E72D297353CC}">
              <c16:uniqueId val="{00000007-5F61-4F24-BB86-B5EFA728895F}"/>
            </c:ext>
          </c:extLst>
        </c:ser>
        <c:ser>
          <c:idx val="3"/>
          <c:order val="4"/>
          <c:tx>
            <c:strRef>
              <c:f>'1-PA18-F-GLLN'!$AB$19</c:f>
              <c:strCache>
                <c:ptCount val="1"/>
                <c:pt idx="0">
                  <c:v>Haut</c:v>
                </c:pt>
              </c:strCache>
            </c:strRef>
          </c:tx>
          <c:spPr>
            <a:solidFill>
              <a:schemeClr val="accent5">
                <a:lumMod val="20000"/>
                <a:lumOff val="80000"/>
              </a:schemeClr>
            </a:solidFill>
            <a:ln>
              <a:noFill/>
            </a:ln>
            <a:effectLst/>
            <a:sp3d/>
          </c:spPr>
          <c:invertIfNegative val="0"/>
          <c:dLbls>
            <c:dLbl>
              <c:idx val="0"/>
              <c:layout>
                <c:manualLayout>
                  <c:x val="8.6919459004034014E-2"/>
                  <c:y val="-9.1856809458599059E-3"/>
                </c:manualLayout>
              </c:layout>
              <c:tx>
                <c:rich>
                  <a:bodyPr/>
                  <a:lstStyle/>
                  <a:p>
                    <a:fld id="{AF7245BD-6B3A-467E-949C-F3127C4A168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1563152997742544"/>
                      <c:h val="9.776626420043589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'1-PA18-F-GLLN'!$AB$20</c:f>
              <c:numCache>
                <c:formatCode>0%</c:formatCode>
                <c:ptCount val="1"/>
                <c:pt idx="0">
                  <c:v>0.2</c:v>
                </c:pt>
              </c:numCache>
            </c:numRef>
          </c:val>
          <c:extLst>
            <c:ext xmlns:c15="http://schemas.microsoft.com/office/drawing/2012/chart" uri="{02D57815-91ED-43cb-92C2-25804820EDAC}">
              <c15:datalabelsRange>
                <c15:f>'1-PA18-F-GLLN'!$U$20</c15:f>
                <c15:dlblRangeCache>
                  <c:ptCount val="1"/>
                  <c:pt idx="0">
                    <c:v>Maxi 65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'6-AQUILA AT01-F-HDJR'!$X$17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8.2209249511545443E-2"/>
                  <c:y val="-1.1340794167754427E-16"/>
                </c:manualLayout>
              </c:layout>
              <c:tx>
                <c:rich>
                  <a:bodyPr/>
                  <a:lstStyle/>
                  <a:p>
                    <a:fld id="{A9AF155C-4336-4E98-98AA-364FB5663DB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100871396467597"/>
                      <c:h val="9.8758838432731227E-2"/>
                    </c:manualLayout>
                  </c15:layout>
                  <c15:dlblFieldTable/>
                  <c15:showDataLabelsRange val="1"/>
                </c:ext>
                <c:ext xmlns:c16="http://schemas.microsoft.com/office/drawing/2014/chart" uri="{C3380CC4-5D6E-409C-BE32-E72D297353CC}">
                  <c16:uniqueId val="{00000000-78FE-4EB1-8F98-DD51B64977B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AT01-F-HDJR'!$X$18</c:f>
              <c:numCache>
                <c:formatCode>0%</c:formatCode>
                <c:ptCount val="1"/>
                <c:pt idx="0">
                  <c:v>0.2</c:v>
                </c:pt>
              </c:numCache>
            </c:numRef>
          </c:val>
          <c:extLst>
            <c:ext xmlns:c15="http://schemas.microsoft.com/office/drawing/2012/chart" uri="{02D57815-91ED-43cb-92C2-25804820EDAC}">
              <c15:datalabelsRange>
                <c15:f>'6-AQUILA AT01-F-HDJR'!$R$18</c15:f>
                <c15:dlblRangeCache>
                  <c:ptCount val="1"/>
                  <c:pt idx="0">
                    <c:v>Aile droite</c:v>
                  </c:pt>
                </c15:dlblRangeCache>
              </c15:datalabelsRange>
            </c:ext>
            <c:ext xmlns:c16="http://schemas.microsoft.com/office/drawing/2014/chart" uri="{C3380CC4-5D6E-409C-BE32-E72D297353CC}">
              <c16:uniqueId val="{00000001-78FE-4EB1-8F98-DD51B64977B0}"/>
            </c:ext>
          </c:extLst>
        </c:ser>
        <c:ser>
          <c:idx val="0"/>
          <c:order val="1"/>
          <c:tx>
            <c:strRef>
              <c:f>'6-AQUILA AT01-F-HDJR'!$W$17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78FE-4EB1-8F98-DD51B64977B0}"/>
              </c:ext>
            </c:extLst>
          </c:dPt>
          <c:dLbls>
            <c:dLbl>
              <c:idx val="0"/>
              <c:tx>
                <c:rich>
                  <a:bodyPr/>
                  <a:lstStyle/>
                  <a:p>
                    <a:fld id="{27D47CF4-50E0-4F87-995A-9DCCCC99279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8FE-4EB1-8F98-DD51B64977B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AT01-F-HDJR'!$W$18</c:f>
              <c:numCache>
                <c:formatCode>0%</c:formatCode>
                <c:ptCount val="1"/>
                <c:pt idx="0">
                  <c:v>0.2</c:v>
                </c:pt>
              </c:numCache>
            </c:numRef>
          </c:val>
          <c:extLst>
            <c:ext xmlns:c15="http://schemas.microsoft.com/office/drawing/2012/chart" uri="{02D57815-91ED-43cb-92C2-25804820EDAC}">
              <c15:datalabelsRange>
                <c15:f>'6-AQUILA AT01-F-HDJR'!$V$18</c15:f>
                <c15:dlblRangeCache>
                  <c:ptCount val="1"/>
                  <c:pt idx="0">
                    <c:v>50%</c:v>
                  </c:pt>
                </c15:dlblRangeCache>
              </c15:datalabelsRange>
            </c:ext>
            <c:ext xmlns:c16="http://schemas.microsoft.com/office/drawing/2014/chart" uri="{C3380CC4-5D6E-409C-BE32-E72D297353CC}">
              <c16:uniqueId val="{00000004-78FE-4EB1-8F98-DD51B64977B0}"/>
            </c:ext>
          </c:extLst>
        </c:ser>
        <c:ser>
          <c:idx val="4"/>
          <c:order val="2"/>
          <c:tx>
            <c:strRef>
              <c:f>'6-AQUILA AT01-F-HDJR'!$V$17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3DD3046C-3915-480D-B7D5-0BCC675521D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8FE-4EB1-8F98-DD51B64977B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AT01-F-HDJR'!$V$18</c:f>
              <c:numCache>
                <c:formatCode>0%</c:formatCode>
                <c:ptCount val="1"/>
                <c:pt idx="0">
                  <c:v>0.5</c:v>
                </c:pt>
              </c:numCache>
            </c:numRef>
          </c:val>
          <c:extLst>
            <c:ext xmlns:c15="http://schemas.microsoft.com/office/drawing/2012/chart" uri="{02D57815-91ED-43cb-92C2-25804820EDAC}">
              <c15:datalabelsRange>
                <c15:f>'6-AQUILA AT01-F-HDJR'!$T$18</c15:f>
                <c15:dlblRangeCache>
                  <c:ptCount val="1"/>
                  <c:pt idx="0">
                    <c:v>30 L</c:v>
                  </c:pt>
                </c15:dlblRangeCache>
              </c15:datalabelsRange>
            </c:ext>
            <c:ext xmlns:c16="http://schemas.microsoft.com/office/drawing/2014/chart" uri="{C3380CC4-5D6E-409C-BE32-E72D297353CC}">
              <c16:uniqueId val="{00000006-78FE-4EB1-8F98-DD51B64977B0}"/>
            </c:ext>
          </c:extLst>
        </c:ser>
        <c:ser>
          <c:idx val="2"/>
          <c:order val="3"/>
          <c:tx>
            <c:strRef>
              <c:f>'6-AQUILA AT01-F-HDJR'!$U$17</c:f>
              <c:strCache>
                <c:ptCount val="1"/>
                <c:pt idx="0">
                  <c:v>Transparent</c:v>
                </c:pt>
              </c:strCache>
            </c:strRef>
          </c:tx>
          <c:spPr>
            <a:solidFill>
              <a:srgbClr val="FFFFFF">
                <a:alpha val="20000"/>
              </a:srgbClr>
            </a:solidFill>
            <a:ln>
              <a:noFill/>
            </a:ln>
            <a:effectLst/>
            <a:sp3d/>
          </c:spPr>
          <c:invertIfNegative val="0"/>
          <c:val>
            <c:numRef>
              <c:f>'6-AQUILA AT01-F-HDJR'!$U$18</c:f>
              <c:numCache>
                <c:formatCode>0%</c:formatCode>
                <c:ptCount val="1"/>
                <c:pt idx="0">
                  <c:v>0.5</c:v>
                </c:pt>
              </c:numCache>
            </c:numRef>
          </c:val>
          <c:extLst>
            <c:ext xmlns:c16="http://schemas.microsoft.com/office/drawing/2014/chart" uri="{C3380CC4-5D6E-409C-BE32-E72D297353CC}">
              <c16:uniqueId val="{00000007-78FE-4EB1-8F98-DD51B64977B0}"/>
            </c:ext>
          </c:extLst>
        </c:ser>
        <c:ser>
          <c:idx val="3"/>
          <c:order val="4"/>
          <c:tx>
            <c:strRef>
              <c:f>'6-AQUILA AT01-F-HDJR'!$Y$17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074888454707054E-2"/>
                  <c:y val="-3.0929795938845015E-3"/>
                </c:manualLayout>
              </c:layout>
              <c:tx>
                <c:rich>
                  <a:bodyPr/>
                  <a:lstStyle/>
                  <a:p>
                    <a:fld id="{B291CDB7-A782-42B5-A948-34207DA8F3A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2929195395850483"/>
                      <c:h val="9.8758838432731227E-2"/>
                    </c:manualLayout>
                  </c15:layout>
                  <c15:dlblFieldTable/>
                  <c15:showDataLabelsRange val="1"/>
                </c:ext>
                <c:ext xmlns:c16="http://schemas.microsoft.com/office/drawing/2014/chart" uri="{C3380CC4-5D6E-409C-BE32-E72D297353CC}">
                  <c16:uniqueId val="{00000008-78FE-4EB1-8F98-DD51B64977B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'6-AQUILA AT01-F-HDJR'!$Y$18</c:f>
              <c:numCache>
                <c:formatCode>0%</c:formatCode>
                <c:ptCount val="1"/>
                <c:pt idx="0">
                  <c:v>0.2</c:v>
                </c:pt>
              </c:numCache>
            </c:numRef>
          </c:val>
          <c:extLst>
            <c:ext xmlns:c15="http://schemas.microsoft.com/office/drawing/2012/chart" uri="{02D57815-91ED-43cb-92C2-25804820EDAC}">
              <c15:datalabelsRange>
                <c15:f>'6-AQUILA AT01-F-HDJR'!$S$18</c15:f>
                <c15:dlblRangeCache>
                  <c:ptCount val="1"/>
                  <c:pt idx="0">
                    <c:v>Maxi 60 L</c:v>
                  </c:pt>
                </c15:dlblRangeCache>
              </c15:datalabelsRange>
            </c:ext>
            <c:ext xmlns:c16="http://schemas.microsoft.com/office/drawing/2014/chart" uri="{C3380CC4-5D6E-409C-BE32-E72D297353CC}">
              <c16:uniqueId val="{00000009-78FE-4EB1-8F98-DD51B64977B0}"/>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1"/>
          <c:tx>
            <c:v>Enveloppe</c:v>
          </c:tx>
          <c:spPr>
            <a:ln w="38100">
              <a:solidFill>
                <a:schemeClr val="tx1"/>
              </a:solidFill>
            </a:ln>
          </c:spPr>
          <c:marker>
            <c:symbol val="circle"/>
            <c:size val="10"/>
            <c:spPr>
              <a:solidFill>
                <a:schemeClr val="tx1"/>
              </a:solidFill>
              <a:ln>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980-4CC7-AB96-51EFEEB92498}"/>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980-4CC7-AB96-51EFEEB92498}"/>
                </c:ext>
              </c:extLst>
            </c:dLbl>
            <c:dLbl>
              <c:idx val="2"/>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980-4CC7-AB96-51EFEEB92498}"/>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980-4CC7-AB96-51EFEEB92498}"/>
                </c:ext>
              </c:extLst>
            </c:dLbl>
            <c:dLbl>
              <c:idx val="4"/>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980-4CC7-AB96-51EFEEB92498}"/>
                </c:ext>
              </c:extLst>
            </c:dLbl>
            <c:spPr>
              <a:noFill/>
              <a:ln>
                <a:noFill/>
              </a:ln>
              <a:effectLst/>
            </c:spPr>
            <c:txPr>
              <a:bodyPr wrap="square" lIns="38100" tIns="19050" rIns="38100" bIns="19050" anchor="ctr">
                <a:spAutoFit/>
              </a:bodyPr>
              <a:lstStyle/>
              <a:p>
                <a:pPr>
                  <a:defRPr sz="1200">
                    <a:solidFill>
                      <a:schemeClr val="tx1"/>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'7-Cirrus SR22-N576CD '!$I$12:$I$17</c:f>
              <c:numCache>
                <c:formatCode>0.00</c:formatCode>
                <c:ptCount val="6"/>
                <c:pt idx="0">
                  <c:v>138</c:v>
                </c:pt>
                <c:pt idx="1">
                  <c:v>139.1</c:v>
                </c:pt>
                <c:pt idx="2">
                  <c:v>141.4</c:v>
                </c:pt>
                <c:pt idx="3">
                  <c:v>143.80000000000001</c:v>
                </c:pt>
                <c:pt idx="4">
                  <c:v>148.1</c:v>
                </c:pt>
                <c:pt idx="5">
                  <c:v>148.1</c:v>
                </c:pt>
              </c:numCache>
            </c:numRef>
          </c:xVal>
          <c:yVal>
            <c:numRef>
              <c:f>'7-Cirrus SR22-N576CD '!$J$12:$J$17</c:f>
              <c:numCache>
                <c:formatCode>#\ ##0" kg"</c:formatCode>
                <c:ptCount val="6"/>
                <c:pt idx="0">
                  <c:v>998</c:v>
                </c:pt>
                <c:pt idx="1">
                  <c:v>1225</c:v>
                </c:pt>
                <c:pt idx="2">
                  <c:v>1456</c:v>
                </c:pt>
                <c:pt idx="3">
                  <c:v>1542</c:v>
                </c:pt>
                <c:pt idx="4">
                  <c:v>1542</c:v>
                </c:pt>
                <c:pt idx="5">
                  <c:v>998</c:v>
                </c:pt>
              </c:numCache>
            </c:numRef>
          </c:yVal>
          <c:smooth val="0"/>
          <c:extLst>
            <c:ext xmlns:c16="http://schemas.microsoft.com/office/drawing/2014/chart" uri="{C3380CC4-5D6E-409C-BE32-E72D297353CC}">
              <c16:uniqueId val="{00000004-9AFC-4054-9772-4290BF10677D}"/>
            </c:ext>
          </c:extLst>
        </c:ser>
        <c:ser>
          <c:idx val="2"/>
          <c:order val="2"/>
          <c:tx>
            <c:v>Centrage2</c:v>
          </c:tx>
          <c:spPr>
            <a:ln>
              <a:solidFill>
                <a:srgbClr val="FF0000"/>
              </a:solidFill>
            </a:ln>
          </c:spPr>
          <c:marker>
            <c:symbol val="diamond"/>
            <c:size val="10"/>
            <c:spPr>
              <a:solidFill>
                <a:schemeClr val="accent2">
                  <a:lumMod val="50000"/>
                </a:schemeClr>
              </a:solidFill>
              <a:ln>
                <a:solidFill>
                  <a:schemeClr val="accent2">
                    <a:lumMod val="50000"/>
                  </a:schemeClr>
                </a:solidFill>
              </a:ln>
            </c:spPr>
          </c:marker>
          <c:dPt>
            <c:idx val="0"/>
            <c:marker>
              <c:spPr>
                <a:solidFill>
                  <a:srgbClr val="FF0000"/>
                </a:solidFill>
                <a:ln w="6350">
                  <a:solidFill>
                    <a:srgbClr val="FF0000"/>
                  </a:solidFill>
                </a:ln>
              </c:spPr>
            </c:marker>
            <c:bubble3D val="0"/>
            <c:extLst>
              <c:ext xmlns:c16="http://schemas.microsoft.com/office/drawing/2014/chart" uri="{C3380CC4-5D6E-409C-BE32-E72D297353CC}">
                <c16:uniqueId val="{00000002-559C-4832-A71C-452AA4D84133}"/>
              </c:ext>
            </c:extLst>
          </c:dPt>
          <c:dLbls>
            <c:dLbl>
              <c:idx val="0"/>
              <c:numFmt formatCode="##0&quot; kg&quot;" sourceLinked="0"/>
              <c:spPr>
                <a:noFill/>
                <a:ln>
                  <a:noFill/>
                </a:ln>
                <a:effectLst/>
              </c:spPr>
              <c:txPr>
                <a:bodyPr wrap="square" lIns="38100" tIns="19050" rIns="38100" bIns="19050" anchor="ctr">
                  <a:spAutoFit/>
                </a:bodyPr>
                <a:lstStyle/>
                <a:p>
                  <a:pPr>
                    <a:defRPr sz="1300">
                      <a:solidFill>
                        <a:srgbClr val="FF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2-559C-4832-A71C-452AA4D84133}"/>
                </c:ext>
              </c:extLst>
            </c:dLbl>
            <c:dLbl>
              <c:idx val="1"/>
              <c:numFmt formatCode="##0&quot; kg&quot;" sourceLinked="0"/>
              <c:spPr>
                <a:noFill/>
                <a:ln>
                  <a:noFill/>
                </a:ln>
                <a:effectLst/>
              </c:spPr>
              <c:txPr>
                <a:bodyPr wrap="square" lIns="38100" tIns="19050" rIns="38100" bIns="19050" anchor="ctr">
                  <a:spAutoFit/>
                </a:bodyPr>
                <a:lstStyle/>
                <a:p>
                  <a:pPr>
                    <a:defRPr sz="13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3-559C-4832-A71C-452AA4D84133}"/>
                </c:ext>
              </c:extLst>
            </c:dLbl>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'7-Cirrus SR22-N576CD '!$K$18:$K$19</c:f>
              <c:numCache>
                <c:formatCode>0.000</c:formatCode>
                <c:ptCount val="2"/>
                <c:pt idx="0">
                  <c:v>143.84691695337517</c:v>
                </c:pt>
                <c:pt idx="1">
                  <c:v>143.47638737044892</c:v>
                </c:pt>
              </c:numCache>
            </c:numRef>
          </c:xVal>
          <c:yVal>
            <c:numRef>
              <c:f>'7-Cirrus SR22-N576CD '!$J$18:$J$19</c:f>
              <c:numCache>
                <c:formatCode>#\ ##0" kg"</c:formatCode>
                <c:ptCount val="2"/>
                <c:pt idx="0">
                  <c:v>1456.4821899999999</c:v>
                </c:pt>
                <c:pt idx="1">
                  <c:v>1409.2405899999999</c:v>
                </c:pt>
              </c:numCache>
            </c:numRef>
          </c:yVal>
          <c:smooth val="0"/>
          <c:extLst>
            <c:ext xmlns:c16="http://schemas.microsoft.com/office/drawing/2014/chart" uri="{C3380CC4-5D6E-409C-BE32-E72D297353CC}">
              <c16:uniqueId val="{00000001-559C-4832-A71C-452AA4D84133}"/>
            </c:ext>
          </c:extLst>
        </c:ser>
        <c:dLbls>
          <c:showLegendKey val="0"/>
          <c:showVal val="0"/>
          <c:showCatName val="0"/>
          <c:showSerName val="0"/>
          <c:showPercent val="0"/>
          <c:showBubbleSize val="0"/>
        </c:dLbls>
        <c:axId val="563522336"/>
        <c:axId val="1"/>
        <c:extLst>
          <c:ext xmlns:c15="http://schemas.microsoft.com/office/drawing/2012/chart" uri="{02D57815-91ED-43cb-92C2-25804820EDAC}">
            <c15:filteredScatterSeries>
              <c15:ser>
                <c:idx val="0"/>
                <c:order val="0"/>
                <c:tx>
                  <c:v>Centrage</c:v>
                </c:tx>
                <c:spPr>
                  <a:ln w="19050">
                    <a:solidFill>
                      <a:srgbClr val="FF0000"/>
                    </a:solidFill>
                  </a:ln>
                </c:spPr>
                <c:marker>
                  <c:symbol val="diamond"/>
                  <c:size val="10"/>
                  <c:spPr>
                    <a:solidFill>
                      <a:schemeClr val="accent2">
                        <a:lumMod val="50000"/>
                      </a:schemeClr>
                    </a:solidFill>
                    <a:ln>
                      <a:solidFill>
                        <a:schemeClr val="accent2">
                          <a:lumMod val="50000"/>
                        </a:schemeClr>
                      </a:solidFill>
                    </a:ln>
                  </c:spPr>
                </c:marker>
                <c:dLbls>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uri="{CE6537A1-D6FC-4f65-9D91-7224C49458BB}">
                      <c15:showLeaderLines val="1"/>
                    </c:ext>
                  </c:extLst>
                </c:dLbls>
                <c:xVal>
                  <c:numRef>
                    <c:extLst>
                      <c:ext uri="{02D57815-91ED-43cb-92C2-25804820EDAC}">
                        <c15:formulaRef>
                          <c15:sqref>'7-Cirrus SR22-N576CD '!$R$33:$R$38</c15:sqref>
                        </c15:formulaRef>
                      </c:ext>
                    </c:extLst>
                  </c:numRef>
                </c:xVal>
                <c:yVal>
                  <c:numRef>
                    <c:extLst>
                      <c:ext uri="{02D57815-91ED-43cb-92C2-25804820EDAC}">
                        <c15:formulaRef>
                          <c15:sqref>'7-Cirrus SR22-N576CD '!$S$33:$S$38</c15:sqref>
                        </c15:formulaRef>
                      </c:ext>
                    </c:extLst>
                    <c:numCache>
                      <c:formatCode>0.00</c:formatCode>
                      <c:ptCount val="6"/>
                      <c:pt idx="0">
                        <c:v>1068.4821899999999</c:v>
                      </c:pt>
                      <c:pt idx="1">
                        <c:v>1222.4821899999999</c:v>
                      </c:pt>
                      <c:pt idx="2">
                        <c:v>1302.4821899999999</c:v>
                      </c:pt>
                      <c:pt idx="3">
                        <c:v>1312.4821899999999</c:v>
                      </c:pt>
                      <c:pt idx="4">
                        <c:v>1312.4821899999999</c:v>
                      </c:pt>
                      <c:pt idx="5">
                        <c:v>1456.4821899999999</c:v>
                      </c:pt>
                    </c:numCache>
                  </c:numRef>
                </c:yVal>
                <c:smooth val="0"/>
                <c:extLst>
                  <c:ext xmlns:c16="http://schemas.microsoft.com/office/drawing/2014/chart" uri="{C3380CC4-5D6E-409C-BE32-E72D297353CC}">
                    <c16:uniqueId val="{0000000A-9AFC-4054-9772-4290BF10677D}"/>
                  </c:ext>
                </c:extLst>
              </c15:ser>
            </c15:filteredScatterSeries>
          </c:ext>
        </c:extLst>
      </c:scatterChart>
      <c:valAx>
        <c:axId val="563522336"/>
        <c:scaling>
          <c:orientation val="minMax"/>
          <c:max val="150"/>
          <c:min val="136"/>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1"/>
      </c:valAx>
      <c:valAx>
        <c:axId val="1"/>
        <c:scaling>
          <c:orientation val="minMax"/>
          <c:max val="1600"/>
          <c:min val="9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10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'7-Cirrus SR22-N576CD '!$Y$15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5.4641673957003742E-2"/>
                  <c:y val="-6.1711957413051848E-3"/>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fld id="{A265F121-E7F2-490D-A332-7FF099812460}" type="CELLRANGE">
                      <a:rPr lang="en-US"/>
                      <a:pPr>
                        <a:defRPr sz="12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8094353693691108"/>
                      <c:h val="0.11847398388897458"/>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'!$Y$16</c:f>
              <c:numCache>
                <c:formatCode>0%</c:formatCode>
                <c:ptCount val="1"/>
                <c:pt idx="0">
                  <c:v>0.2</c:v>
                </c:pt>
              </c:numCache>
            </c:numRef>
          </c:val>
          <c:extLst>
            <c:ext xmlns:c15="http://schemas.microsoft.com/office/drawing/2012/chart" uri="{02D57815-91ED-43cb-92C2-25804820EDAC}">
              <c15:datalabelsRange>
                <c15:f>'7-Cirrus SR22-N576CD '!$S$16</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'7-Cirrus SR22-N576CD '!$X$15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140CEFD6-A0E1-430B-A865-D48EE58F670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'!$X$16</c:f>
              <c:numCache>
                <c:formatCode>0%</c:formatCode>
                <c:ptCount val="1"/>
                <c:pt idx="0">
                  <c:v>0.2</c:v>
                </c:pt>
              </c:numCache>
            </c:numRef>
          </c:val>
          <c:extLst>
            <c:ext xmlns:c15="http://schemas.microsoft.com/office/drawing/2012/chart" uri="{02D57815-91ED-43cb-92C2-25804820EDAC}">
              <c15:datalabelsRange>
                <c15:f>'7-Cirrus SR22-N576CD '!$W$16</c15:f>
                <c15:dlblRangeCache>
                  <c:ptCount val="1"/>
                  <c:pt idx="0">
                    <c:v>63%</c:v>
                  </c:pt>
                </c15:dlblRangeCache>
              </c15:datalabelsRange>
            </c:ext>
            <c:ext xmlns:c16="http://schemas.microsoft.com/office/drawing/2014/chart" uri="{C3380CC4-5D6E-409C-BE32-E72D297353CC}">
              <c16:uniqueId val="{00000004-5F61-4F24-BB86-B5EFA728895F}"/>
            </c:ext>
          </c:extLst>
        </c:ser>
        <c:ser>
          <c:idx val="4"/>
          <c:order val="2"/>
          <c:tx>
            <c:strRef>
              <c:f>'7-Cirrus SR22-N576CD '!$W$15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84830D85-3C01-4B59-9497-7BE7C0F703F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'!$W$16</c:f>
              <c:numCache>
                <c:formatCode>0%</c:formatCode>
                <c:ptCount val="1"/>
                <c:pt idx="0">
                  <c:v>0.62893081761006286</c:v>
                </c:pt>
              </c:numCache>
            </c:numRef>
          </c:val>
          <c:extLst>
            <c:ext xmlns:c15="http://schemas.microsoft.com/office/drawing/2012/chart" uri="{02D57815-91ED-43cb-92C2-25804820EDAC}">
              <c15:datalabelsRange>
                <c15:f>'7-Cirrus SR22-N576CD '!$U$16</c15:f>
                <c15:dlblRangeCache>
                  <c:ptCount val="1"/>
                  <c:pt idx="0">
                    <c:v>100 L</c:v>
                  </c:pt>
                </c15:dlblRangeCache>
              </c15:datalabelsRange>
            </c:ext>
            <c:ext xmlns:c16="http://schemas.microsoft.com/office/drawing/2014/chart" uri="{C3380CC4-5D6E-409C-BE32-E72D297353CC}">
              <c16:uniqueId val="{00000006-5F61-4F24-BB86-B5EFA728895F}"/>
            </c:ext>
          </c:extLst>
        </c:ser>
        <c:ser>
          <c:idx val="2"/>
          <c:order val="3"/>
          <c:tx>
            <c:strRef>
              <c:f>'7-Cirrus SR22-N576CD '!$V$15</c:f>
              <c:strCache>
                <c:ptCount val="1"/>
                <c:pt idx="0">
                  <c:v>Transparent</c:v>
                </c:pt>
              </c:strCache>
            </c:strRef>
          </c:tx>
          <c:spPr>
            <a:solidFill>
              <a:srgbClr val="FFFFFF">
                <a:alpha val="20000"/>
              </a:srgbClr>
            </a:solidFill>
            <a:ln>
              <a:noFill/>
            </a:ln>
            <a:effectLst/>
            <a:sp3d/>
          </c:spPr>
          <c:invertIfNegative val="0"/>
          <c:val>
            <c:numRef>
              <c:f>'7-Cirrus SR22-N576CD '!$V$16</c:f>
              <c:numCache>
                <c:formatCode>0%</c:formatCode>
                <c:ptCount val="1"/>
                <c:pt idx="0">
                  <c:v>0.37106918238993714</c:v>
                </c:pt>
              </c:numCache>
            </c:numRef>
          </c:val>
          <c:extLst>
            <c:ext xmlns:c16="http://schemas.microsoft.com/office/drawing/2014/chart" uri="{C3380CC4-5D6E-409C-BE32-E72D297353CC}">
              <c16:uniqueId val="{00000007-5F61-4F24-BB86-B5EFA728895F}"/>
            </c:ext>
          </c:extLst>
        </c:ser>
        <c:ser>
          <c:idx val="3"/>
          <c:order val="4"/>
          <c:tx>
            <c:strRef>
              <c:f>'7-Cirrus SR22-N576CD '!$Z$15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8322708563397214E-2"/>
                  <c:y val="-1.2358670154027845E-2"/>
                </c:manualLayout>
              </c:layout>
              <c:tx>
                <c:rich>
                  <a:bodyPr/>
                  <a:lstStyle/>
                  <a:p>
                    <a:fld id="{53C41553-C1DA-43F7-A992-9ED7FAB6511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589040693024488"/>
                      <c:h val="9.878176521027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'!$Z$16</c:f>
              <c:numCache>
                <c:formatCode>0%</c:formatCode>
                <c:ptCount val="1"/>
                <c:pt idx="0">
                  <c:v>0.2</c:v>
                </c:pt>
              </c:numCache>
            </c:numRef>
          </c:val>
          <c:extLst>
            <c:ext xmlns:c15="http://schemas.microsoft.com/office/drawing/2012/chart" uri="{02D57815-91ED-43cb-92C2-25804820EDAC}">
              <c15:datalabelsRange>
                <c15:f>'7-Cirrus SR22-N576CD '!$T$16</c15:f>
                <c15:dlblRangeCache>
                  <c:ptCount val="1"/>
                  <c:pt idx="0">
                    <c:v>Maxi 159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'7-Cirrus SR22-N576CD '!$Y$17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7.2866407402825364E-2"/>
                  <c:y val="-3.0849428071036272E-3"/>
                </c:manualLayout>
              </c:layout>
              <c:tx>
                <c:rich>
                  <a:bodyPr/>
                  <a:lstStyle/>
                  <a:p>
                    <a:fld id="{EFCC2695-A5B4-4371-BB3A-AC916B7BE94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2637301361045523"/>
                      <c:h val="9.8502223830818816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'!$Y$18</c:f>
              <c:numCache>
                <c:formatCode>0%</c:formatCode>
                <c:ptCount val="1"/>
                <c:pt idx="0">
                  <c:v>0.2</c:v>
                </c:pt>
              </c:numCache>
            </c:numRef>
          </c:val>
          <c:extLst>
            <c:ext xmlns:c15="http://schemas.microsoft.com/office/drawing/2012/chart" uri="{02D57815-91ED-43cb-92C2-25804820EDAC}">
              <c15:datalabelsRange>
                <c15:f>'7-Cirrus SR22-N576CD '!$S$18</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'7-Cirrus SR22-N576CD '!$X$17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46B0A4B3-18F0-40D9-8474-9D1E55036B7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'!$X$18</c:f>
              <c:numCache>
                <c:formatCode>0%</c:formatCode>
                <c:ptCount val="1"/>
                <c:pt idx="0">
                  <c:v>0.2</c:v>
                </c:pt>
              </c:numCache>
            </c:numRef>
          </c:val>
          <c:extLst>
            <c:ext xmlns:c15="http://schemas.microsoft.com/office/drawing/2012/chart" uri="{02D57815-91ED-43cb-92C2-25804820EDAC}">
              <c15:datalabelsRange>
                <c15:f>'7-Cirrus SR22-N576CD '!$W$18</c15:f>
                <c15:dlblRangeCache>
                  <c:ptCount val="1"/>
                  <c:pt idx="0">
                    <c:v>63%</c:v>
                  </c:pt>
                </c15:dlblRangeCache>
              </c15:datalabelsRange>
            </c:ext>
            <c:ext xmlns:c16="http://schemas.microsoft.com/office/drawing/2014/chart" uri="{C3380CC4-5D6E-409C-BE32-E72D297353CC}">
              <c16:uniqueId val="{00000004-5F61-4F24-BB86-B5EFA728895F}"/>
            </c:ext>
          </c:extLst>
        </c:ser>
        <c:ser>
          <c:idx val="4"/>
          <c:order val="2"/>
          <c:tx>
            <c:strRef>
              <c:f>'7-Cirrus SR22-N576CD '!$W$17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D3C7F200-3EF3-4DF5-BF75-7378A8D7EF3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'!$W$18</c:f>
              <c:numCache>
                <c:formatCode>0%</c:formatCode>
                <c:ptCount val="1"/>
                <c:pt idx="0">
                  <c:v>0.62893081761006286</c:v>
                </c:pt>
              </c:numCache>
            </c:numRef>
          </c:val>
          <c:extLst>
            <c:ext xmlns:c15="http://schemas.microsoft.com/office/drawing/2012/chart" uri="{02D57815-91ED-43cb-92C2-25804820EDAC}">
              <c15:datalabelsRange>
                <c15:f>'7-Cirrus SR22-N576CD '!$U$18</c15:f>
                <c15:dlblRangeCache>
                  <c:ptCount val="1"/>
                  <c:pt idx="0">
                    <c:v>100 L</c:v>
                  </c:pt>
                </c15:dlblRangeCache>
              </c15:datalabelsRange>
            </c:ext>
            <c:ext xmlns:c16="http://schemas.microsoft.com/office/drawing/2014/chart" uri="{C3380CC4-5D6E-409C-BE32-E72D297353CC}">
              <c16:uniqueId val="{00000006-5F61-4F24-BB86-B5EFA728895F}"/>
            </c:ext>
          </c:extLst>
        </c:ser>
        <c:ser>
          <c:idx val="2"/>
          <c:order val="3"/>
          <c:tx>
            <c:strRef>
              <c:f>'7-Cirrus SR22-N576CD '!$V$17</c:f>
              <c:strCache>
                <c:ptCount val="1"/>
                <c:pt idx="0">
                  <c:v>Transparent</c:v>
                </c:pt>
              </c:strCache>
            </c:strRef>
          </c:tx>
          <c:spPr>
            <a:solidFill>
              <a:srgbClr val="FFFFFF">
                <a:alpha val="20000"/>
              </a:srgbClr>
            </a:solidFill>
            <a:ln>
              <a:noFill/>
            </a:ln>
            <a:effectLst/>
            <a:sp3d/>
          </c:spPr>
          <c:invertIfNegative val="0"/>
          <c:val>
            <c:numRef>
              <c:f>'7-Cirrus SR22-N576CD '!$V$18</c:f>
              <c:numCache>
                <c:formatCode>0%</c:formatCode>
                <c:ptCount val="1"/>
                <c:pt idx="0">
                  <c:v>0.37106918238993714</c:v>
                </c:pt>
              </c:numCache>
            </c:numRef>
          </c:val>
          <c:extLst>
            <c:ext xmlns:c16="http://schemas.microsoft.com/office/drawing/2014/chart" uri="{C3380CC4-5D6E-409C-BE32-E72D297353CC}">
              <c16:uniqueId val="{00000007-5F61-4F24-BB86-B5EFA728895F}"/>
            </c:ext>
          </c:extLst>
        </c:ser>
        <c:ser>
          <c:idx val="3"/>
          <c:order val="4"/>
          <c:tx>
            <c:strRef>
              <c:f>'7-Cirrus SR22-N576CD '!$Z$17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2866407402825323E-2"/>
                  <c:y val="-6.1698856142072545E-3"/>
                </c:manualLayout>
              </c:layout>
              <c:tx>
                <c:rich>
                  <a:bodyPr/>
                  <a:lstStyle/>
                  <a:p>
                    <a:fld id="{C283B885-707E-4F95-A6C4-25D7C11D9AC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8860565898019306"/>
                      <c:h val="9.850222383081881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'7-Cirrus SR22-N576CD '!$Z$18</c:f>
              <c:numCache>
                <c:formatCode>0%</c:formatCode>
                <c:ptCount val="1"/>
                <c:pt idx="0">
                  <c:v>0.2</c:v>
                </c:pt>
              </c:numCache>
            </c:numRef>
          </c:val>
          <c:extLst>
            <c:ext xmlns:c15="http://schemas.microsoft.com/office/drawing/2012/chart" uri="{02D57815-91ED-43cb-92C2-25804820EDAC}">
              <c15:datalabelsRange>
                <c15:f>'7-Cirrus SR22-N576CD '!$T$18</c15:f>
                <c15:dlblRangeCache>
                  <c:ptCount val="1"/>
                  <c:pt idx="0">
                    <c:v>Maxi 159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Moment</c:v>
          </c:tx>
          <c:spPr>
            <a:ln w="19050">
              <a:solidFill>
                <a:srgbClr val="FF0000"/>
              </a:solidFill>
              <a:prstDash val="solid"/>
            </a:ln>
          </c:spPr>
          <c:marker>
            <c:symbol val="diamond"/>
            <c:size val="10"/>
            <c:spPr>
              <a:solidFill>
                <a:schemeClr val="accent2">
                  <a:lumMod val="50000"/>
                </a:schemeClr>
              </a:solidFill>
              <a:ln w="12700">
                <a:solidFill>
                  <a:schemeClr val="accent2">
                    <a:lumMod val="50000"/>
                  </a:schemeClr>
                </a:solidFill>
                <a:prstDash val="solid"/>
              </a:ln>
            </c:spPr>
          </c:marker>
          <c:dPt>
            <c:idx val="0"/>
            <c:marker>
              <c:spPr>
                <a:solidFill>
                  <a:srgbClr val="C00000"/>
                </a:solidFill>
                <a:ln w="12700">
                  <a:solidFill>
                    <a:srgbClr val="C00000"/>
                  </a:solidFill>
                  <a:prstDash val="solid"/>
                  <a:tailEnd type="none"/>
                </a:ln>
              </c:spPr>
            </c:marker>
            <c:bubble3D val="0"/>
            <c:spPr>
              <a:ln w="19050">
                <a:solidFill>
                  <a:srgbClr val="C00000"/>
                </a:solidFill>
                <a:prstDash val="solid"/>
              </a:ln>
            </c:spPr>
            <c:extLst>
              <c:ext xmlns:c16="http://schemas.microsoft.com/office/drawing/2014/chart" uri="{C3380CC4-5D6E-409C-BE32-E72D297353CC}">
                <c16:uniqueId val="{00000005-04F4-49DE-A57A-1DFEF5C092BA}"/>
              </c:ext>
            </c:extLst>
          </c:dPt>
          <c:dPt>
            <c:idx val="1"/>
            <c:bubble3D val="0"/>
            <c:extLst>
              <c:ext xmlns:c16="http://schemas.microsoft.com/office/drawing/2014/chart" uri="{C3380CC4-5D6E-409C-BE32-E72D297353CC}">
                <c16:uniqueId val="{00000006-04F4-49DE-A57A-1DFEF5C092BA}"/>
              </c:ext>
            </c:extLst>
          </c:dPt>
          <c:dLbls>
            <c:dLbl>
              <c:idx val="0"/>
              <c:numFmt formatCode="##0&quot; kg&quot;" sourceLinked="0"/>
              <c:spPr>
                <a:noFill/>
                <a:ln w="25400">
                  <a:noFill/>
                </a:ln>
              </c:spPr>
              <c:txPr>
                <a:bodyPr wrap="square" lIns="38100" tIns="19050" rIns="38100" bIns="19050" anchor="ctr">
                  <a:spAutoFit/>
                </a:bodyPr>
                <a:lstStyle/>
                <a:p>
                  <a:pPr>
                    <a:defRPr sz="1300" b="0" i="0" u="none" strike="noStrike" baseline="0">
                      <a:solidFill>
                        <a:srgbClr val="C0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5-04F4-49DE-A57A-1DFEF5C092BA}"/>
                </c:ext>
              </c:extLst>
            </c:dLbl>
            <c:dLbl>
              <c:idx val="1"/>
              <c:numFmt formatCode="##0&quot; kg&quot;" sourceLinked="0"/>
              <c:spPr>
                <a:noFill/>
                <a:ln w="25400">
                  <a:noFill/>
                </a:ln>
              </c:spPr>
              <c:txPr>
                <a:bodyPr wrap="square" lIns="38100" tIns="19050" rIns="38100" bIns="19050" anchor="ctr">
                  <a:spAutoFit/>
                </a:bodyPr>
                <a:lstStyle/>
                <a:p>
                  <a:pPr>
                    <a:defRPr sz="1300" b="0" i="0" u="none" strike="noStrike" baseline="0">
                      <a:solidFill>
                        <a:schemeClr val="accent2">
                          <a:lumMod val="50000"/>
                        </a:schemeClr>
                      </a:solidFill>
                      <a:latin typeface="Book Antiqua" panose="02040602050305030304" pitchFamily="18" charset="0"/>
                      <a:ea typeface="Arial"/>
                      <a:cs typeface="Arial"/>
                    </a:defRPr>
                  </a:pPr>
                  <a:endParaRPr lang="fr-FR"/>
                </a:p>
              </c:txPr>
              <c:showLegendKey val="0"/>
              <c:showVal val="1"/>
              <c:showCatName val="0"/>
              <c:showSerName val="0"/>
              <c:showPercent val="0"/>
              <c:showBubbleSize val="0"/>
              <c:extLst>
                <c:ext xmlns:c16="http://schemas.microsoft.com/office/drawing/2014/chart" uri="{C3380CC4-5D6E-409C-BE32-E72D297353CC}">
                  <c16:uniqueId val="{00000006-04F4-49DE-A57A-1DFEF5C092BA}"/>
                </c:ext>
              </c:extLst>
            </c:dLbl>
            <c:numFmt formatCode="##0&quot; kg&quot;" sourceLinked="0"/>
            <c:spPr>
              <a:noFill/>
              <a:ln w="25400">
                <a:noFill/>
              </a:ln>
            </c:spPr>
            <c:txPr>
              <a:bodyPr wrap="square" lIns="38100" tIns="19050" rIns="38100" bIns="19050" anchor="ctr">
                <a:spAutoFit/>
              </a:bodyPr>
              <a:lstStyle/>
              <a:p>
                <a:pPr>
                  <a:defRPr sz="1300" b="0" i="0" u="none" strike="noStrike" baseline="0">
                    <a:solidFill>
                      <a:srgbClr val="FF0000"/>
                    </a:solidFill>
                    <a:latin typeface="Book Antiqua" panose="02040602050305030304" pitchFamily="18" charset="0"/>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'8-CAP10 182 cv F-GDTF'!$I$11:$I$12</c:f>
              <c:numCache>
                <c:formatCode>0.00%</c:formatCode>
                <c:ptCount val="2"/>
                <c:pt idx="0">
                  <c:v>0.26016169648774018</c:v>
                </c:pt>
                <c:pt idx="1">
                  <c:v>0.27502793494893413</c:v>
                </c:pt>
              </c:numCache>
            </c:numRef>
          </c:xVal>
          <c:yVal>
            <c:numRef>
              <c:f>'8-CAP10 182 cv F-GDTF'!$J$11:$J$12</c:f>
              <c:numCache>
                <c:formatCode>#\ ##0" kg"</c:formatCode>
                <c:ptCount val="2"/>
                <c:pt idx="0">
                  <c:v>804.80000000000007</c:v>
                </c:pt>
                <c:pt idx="1">
                  <c:v>749.36</c:v>
                </c:pt>
              </c:numCache>
            </c:numRef>
          </c:yVal>
          <c:smooth val="0"/>
          <c:extLst>
            <c:ext xmlns:c16="http://schemas.microsoft.com/office/drawing/2014/chart" uri="{C3380CC4-5D6E-409C-BE32-E72D297353CC}">
              <c16:uniqueId val="{00000007-04F4-49DE-A57A-1DFEF5C092BA}"/>
            </c:ext>
          </c:extLst>
        </c:ser>
        <c:ser>
          <c:idx val="0"/>
          <c:order val="1"/>
          <c:tx>
            <c:v>Enveloppe</c:v>
          </c:tx>
          <c:spPr>
            <a:ln w="38100">
              <a:solidFill>
                <a:schemeClr val="tx1"/>
              </a:solidFill>
            </a:ln>
          </c:spPr>
          <c:marker>
            <c:symbol val="circle"/>
            <c:size val="9"/>
            <c:spPr>
              <a:solidFill>
                <a:schemeClr val="tx1"/>
              </a:solidFill>
              <a:ln>
                <a:solidFill>
                  <a:schemeClr val="tx1"/>
                </a:solidFill>
              </a:ln>
            </c:spPr>
          </c:marker>
          <c:dLbls>
            <c:dLbl>
              <c:idx val="0"/>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417-4A6A-B3DA-A51C5E03AF56}"/>
                </c:ext>
              </c:extLst>
            </c:dLbl>
            <c:dLbl>
              <c:idx val="3"/>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417-4A6A-B3DA-A51C5E03AF56}"/>
                </c:ext>
              </c:extLst>
            </c:dLbl>
            <c:spPr>
              <a:noFill/>
              <a:ln w="25400">
                <a:noFill/>
              </a:ln>
              <a:effectLst/>
            </c:spPr>
            <c:txPr>
              <a:bodyPr rot="0" wrap="square" lIns="38100" tIns="19050" rIns="38100" bIns="19050" anchor="ctr" anchorCtr="1">
                <a:spAutoFit/>
              </a:bodyPr>
              <a:lstStyle/>
              <a:p>
                <a:pPr>
                  <a:defRPr sz="1300" b="1" i="0" u="none" strike="noStrike" baseline="0">
                    <a:solidFill>
                      <a:schemeClr val="tx1"/>
                    </a:solidFill>
                    <a:latin typeface="Book Antiqua" panose="02040602050305030304" pitchFamily="18" charset="0"/>
                    <a:ea typeface="Arial"/>
                    <a:cs typeface="Arial"/>
                  </a:defRPr>
                </a:pPr>
                <a:endParaRPr lang="fr-FR"/>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'8-CAP10 182 cv F-GDTF'!$I$7:$I$10</c:f>
              <c:numCache>
                <c:formatCode>0%</c:formatCode>
                <c:ptCount val="4"/>
                <c:pt idx="0">
                  <c:v>0.18</c:v>
                </c:pt>
                <c:pt idx="1">
                  <c:v>0.18</c:v>
                </c:pt>
                <c:pt idx="2">
                  <c:v>0.3</c:v>
                </c:pt>
                <c:pt idx="3">
                  <c:v>0.3</c:v>
                </c:pt>
              </c:numCache>
            </c:numRef>
          </c:xVal>
          <c:yVal>
            <c:numRef>
              <c:f>'8-CAP10 182 cv F-GDTF'!$J$7:$J$10</c:f>
              <c:numCache>
                <c:formatCode>#\ ##0" kg"</c:formatCode>
                <c:ptCount val="4"/>
                <c:pt idx="0">
                  <c:v>565.6</c:v>
                </c:pt>
                <c:pt idx="1">
                  <c:v>830</c:v>
                </c:pt>
                <c:pt idx="2">
                  <c:v>830</c:v>
                </c:pt>
                <c:pt idx="3">
                  <c:v>565.6</c:v>
                </c:pt>
              </c:numCache>
            </c:numRef>
          </c:yVal>
          <c:smooth val="0"/>
          <c:extLst>
            <c:ext xmlns:c16="http://schemas.microsoft.com/office/drawing/2014/chart" uri="{C3380CC4-5D6E-409C-BE32-E72D297353CC}">
              <c16:uniqueId val="{00000008-CC3F-418D-99AB-D1737C0C5C64}"/>
            </c:ext>
          </c:extLst>
        </c:ser>
        <c:ser>
          <c:idx val="1"/>
          <c:order val="2"/>
          <c:tx>
            <c:v>Enveloppe Cat. U</c:v>
          </c:tx>
          <c:spPr>
            <a:ln w="38100">
              <a:solidFill>
                <a:schemeClr val="tx1"/>
              </a:solidFill>
            </a:ln>
          </c:spPr>
          <c:marker>
            <c:symbol val="circle"/>
            <c:size val="10"/>
            <c:spPr>
              <a:solidFill>
                <a:schemeClr val="tx1"/>
              </a:solidFill>
              <a:ln>
                <a:solidFill>
                  <a:schemeClr val="tx1"/>
                </a:solidFill>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17-4A6A-B3DA-A51C5E03AF56}"/>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417-4A6A-B3DA-A51C5E03AF56}"/>
                </c:ext>
              </c:extLst>
            </c:dLbl>
            <c:numFmt formatCode="0&quot; kg&quot;" sourceLinked="0"/>
            <c:spPr>
              <a:noFill/>
              <a:ln>
                <a:noFill/>
              </a:ln>
              <a:effectLst/>
            </c:spPr>
            <c:txPr>
              <a:bodyPr wrap="square" lIns="38100" tIns="19050" rIns="38100" bIns="19050" anchor="ctr">
                <a:spAutoFit/>
              </a:bodyPr>
              <a:lstStyle/>
              <a:p>
                <a:pPr>
                  <a:defRPr sz="1300" b="1">
                    <a:solidFill>
                      <a:schemeClr val="tx1"/>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'8-CAP10 182 cv F-GDTF'!$V$34:$V$37</c:f>
              <c:numCache>
                <c:formatCode>0%</c:formatCode>
                <c:ptCount val="4"/>
                <c:pt idx="0">
                  <c:v>0.18</c:v>
                </c:pt>
                <c:pt idx="1">
                  <c:v>0.18</c:v>
                </c:pt>
                <c:pt idx="2">
                  <c:v>0.3</c:v>
                </c:pt>
                <c:pt idx="3">
                  <c:v>0.3</c:v>
                </c:pt>
              </c:numCache>
            </c:numRef>
          </c:xVal>
          <c:yVal>
            <c:numRef>
              <c:f>'8-CAP10 182 cv F-GDTF'!$T$34:$T$37</c:f>
              <c:numCache>
                <c:formatCode>0.00</c:formatCode>
                <c:ptCount val="4"/>
                <c:pt idx="0">
                  <c:v>565.6</c:v>
                </c:pt>
                <c:pt idx="1">
                  <c:v>830</c:v>
                </c:pt>
                <c:pt idx="2">
                  <c:v>830</c:v>
                </c:pt>
                <c:pt idx="3">
                  <c:v>565.6</c:v>
                </c:pt>
              </c:numCache>
            </c:numRef>
          </c:yVal>
          <c:smooth val="0"/>
          <c:extLst>
            <c:ext xmlns:c16="http://schemas.microsoft.com/office/drawing/2014/chart" uri="{C3380CC4-5D6E-409C-BE32-E72D297353CC}">
              <c16:uniqueId val="{0000000B-CC3F-418D-99AB-D1737C0C5C64}"/>
            </c:ext>
          </c:extLst>
        </c:ser>
        <c:dLbls>
          <c:showLegendKey val="0"/>
          <c:showVal val="0"/>
          <c:showCatName val="0"/>
          <c:showSerName val="0"/>
          <c:showPercent val="0"/>
          <c:showBubbleSize val="0"/>
        </c:dLbls>
        <c:axId val="563522336"/>
        <c:axId val="1"/>
      </c:scatterChart>
      <c:valAx>
        <c:axId val="563522336"/>
        <c:scaling>
          <c:orientation val="minMax"/>
          <c:max val="0.32000000000000006"/>
          <c:min val="0.16000000000000003"/>
        </c:scaling>
        <c:delete val="0"/>
        <c:axPos val="b"/>
        <c:majorGridlines>
          <c:spPr>
            <a:ln w="3175">
              <a:solidFill>
                <a:srgbClr val="000000"/>
              </a:solidFill>
              <a:prstDash val="solid"/>
            </a:ln>
          </c:spPr>
        </c:majorGridlines>
        <c:title>
          <c:tx>
            <c:rich>
              <a:bodyPr/>
              <a:lstStyle/>
              <a:p>
                <a:pPr>
                  <a:defRPr sz="1200" b="1" i="0" u="none" strike="noStrike" baseline="0">
                    <a:solidFill>
                      <a:schemeClr val="tx1"/>
                    </a:solidFill>
                    <a:latin typeface="Book Antiqua" panose="02040602050305030304" pitchFamily="18" charset="0"/>
                    <a:ea typeface="Arial"/>
                    <a:cs typeface="Arial"/>
                  </a:defRPr>
                </a:pPr>
                <a:r>
                  <a:rPr lang="fr-FR" sz="1200">
                    <a:solidFill>
                      <a:schemeClr val="tx1"/>
                    </a:solidFill>
                    <a:latin typeface="Book Antiqua" panose="02040602050305030304" pitchFamily="18" charset="0"/>
                  </a:rPr>
                  <a:t>% de la MAC</a:t>
                </a:r>
              </a:p>
            </c:rich>
          </c:tx>
          <c:layout>
            <c:manualLayout>
              <c:xMode val="edge"/>
              <c:yMode val="edge"/>
              <c:x val="0.43981641287376394"/>
              <c:y val="0.9496864428516810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valAx>
      <c:valAx>
        <c:axId val="1"/>
        <c:scaling>
          <c:orientation val="minMax"/>
          <c:max val="900"/>
          <c:min val="525"/>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out"/>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25"/>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'8-CAP10 182 cv F-GDTF'!$X$17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6.4012972527705908E-2"/>
                  <c:y val="-3.0505387803945955E-3"/>
                </c:manualLayout>
              </c:layout>
              <c:tx>
                <c:rich>
                  <a:bodyPr/>
                  <a:lstStyle/>
                  <a:p>
                    <a:fld id="{D7B142C4-EAB0-40BA-B238-38C43072E8C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1446095532700983"/>
                      <c:h val="9.7403703257999436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F-GDTF'!$X$18</c:f>
              <c:numCache>
                <c:formatCode>0%</c:formatCode>
                <c:ptCount val="1"/>
                <c:pt idx="0">
                  <c:v>0.2</c:v>
                </c:pt>
              </c:numCache>
            </c:numRef>
          </c:val>
          <c:extLst>
            <c:ext xmlns:c15="http://schemas.microsoft.com/office/drawing/2012/chart" uri="{02D57815-91ED-43cb-92C2-25804820EDAC}">
              <c15:datalabelsRange>
                <c15:f>'8-CAP10 182 cv F-GDTF'!$R$18</c15:f>
                <c15:dlblRangeCache>
                  <c:ptCount val="1"/>
                  <c:pt idx="0">
                    <c:v>Principal</c:v>
                  </c:pt>
                </c15:dlblRangeCache>
              </c15:datalabelsRange>
            </c:ext>
            <c:ext xmlns:c16="http://schemas.microsoft.com/office/drawing/2014/chart" uri="{C3380CC4-5D6E-409C-BE32-E72D297353CC}">
              <c16:uniqueId val="{00000001-5F61-4F24-BB86-B5EFA728895F}"/>
            </c:ext>
          </c:extLst>
        </c:ser>
        <c:ser>
          <c:idx val="0"/>
          <c:order val="1"/>
          <c:tx>
            <c:strRef>
              <c:f>'8-CAP10 182 cv F-GDTF'!$W$17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A95D2B82-39A6-48B3-9344-CFD997D7104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F-GDTF'!$W$18</c:f>
              <c:numCache>
                <c:formatCode>0%</c:formatCode>
                <c:ptCount val="1"/>
                <c:pt idx="0">
                  <c:v>0.2</c:v>
                </c:pt>
              </c:numCache>
            </c:numRef>
          </c:val>
          <c:extLst>
            <c:ext xmlns:c15="http://schemas.microsoft.com/office/drawing/2012/chart" uri="{02D57815-91ED-43cb-92C2-25804820EDAC}">
              <c15:datalabelsRange>
                <c15:f>'8-CAP10 182 cv F-GDTF'!$V$18</c15:f>
                <c15:dlblRangeCache>
                  <c:ptCount val="1"/>
                  <c:pt idx="0">
                    <c:v>83%</c:v>
                  </c:pt>
                </c15:dlblRangeCache>
              </c15:datalabelsRange>
            </c:ext>
            <c:ext xmlns:c16="http://schemas.microsoft.com/office/drawing/2014/chart" uri="{C3380CC4-5D6E-409C-BE32-E72D297353CC}">
              <c16:uniqueId val="{00000004-5F61-4F24-BB86-B5EFA728895F}"/>
            </c:ext>
          </c:extLst>
        </c:ser>
        <c:ser>
          <c:idx val="4"/>
          <c:order val="2"/>
          <c:tx>
            <c:strRef>
              <c:f>'8-CAP10 182 cv F-GDTF'!$V$17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4CF9426D-E73D-4109-B3E3-CC9E8A2C00B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42551516985513321"/>
                      <c:h val="0.13488249638608255"/>
                    </c:manualLayout>
                  </c15:layout>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F-GDTF'!$V$18</c:f>
              <c:numCache>
                <c:formatCode>0%</c:formatCode>
                <c:ptCount val="1"/>
                <c:pt idx="0">
                  <c:v>0.83333333333333337</c:v>
                </c:pt>
              </c:numCache>
            </c:numRef>
          </c:val>
          <c:extLst>
            <c:ext xmlns:c15="http://schemas.microsoft.com/office/drawing/2012/chart" uri="{02D57815-91ED-43cb-92C2-25804820EDAC}">
              <c15:datalabelsRange>
                <c15:f>'8-CAP10 182 cv F-GDTF'!$T$18</c15:f>
                <c15:dlblRangeCache>
                  <c:ptCount val="1"/>
                  <c:pt idx="0">
                    <c:v>60 L</c:v>
                  </c:pt>
                </c15:dlblRangeCache>
              </c15:datalabelsRange>
            </c:ext>
            <c:ext xmlns:c16="http://schemas.microsoft.com/office/drawing/2014/chart" uri="{C3380CC4-5D6E-409C-BE32-E72D297353CC}">
              <c16:uniqueId val="{00000006-5F61-4F24-BB86-B5EFA728895F}"/>
            </c:ext>
          </c:extLst>
        </c:ser>
        <c:ser>
          <c:idx val="2"/>
          <c:order val="3"/>
          <c:tx>
            <c:strRef>
              <c:f>'8-CAP10 182 cv F-GDTF'!$U$17</c:f>
              <c:strCache>
                <c:ptCount val="1"/>
                <c:pt idx="0">
                  <c:v>Transparent</c:v>
                </c:pt>
              </c:strCache>
            </c:strRef>
          </c:tx>
          <c:spPr>
            <a:solidFill>
              <a:srgbClr val="FFFFFF">
                <a:alpha val="20000"/>
              </a:srgbClr>
            </a:solidFill>
            <a:ln>
              <a:noFill/>
            </a:ln>
            <a:effectLst/>
            <a:sp3d/>
          </c:spPr>
          <c:invertIfNegative val="0"/>
          <c:val>
            <c:numRef>
              <c:f>'8-CAP10 182 cv F-GDTF'!$U$18</c:f>
              <c:numCache>
                <c:formatCode>0%</c:formatCode>
                <c:ptCount val="1"/>
                <c:pt idx="0">
                  <c:v>0.16666666666666663</c:v>
                </c:pt>
              </c:numCache>
            </c:numRef>
          </c:val>
          <c:extLst>
            <c:ext xmlns:c16="http://schemas.microsoft.com/office/drawing/2014/chart" uri="{C3380CC4-5D6E-409C-BE32-E72D297353CC}">
              <c16:uniqueId val="{00000007-5F61-4F24-BB86-B5EFA728895F}"/>
            </c:ext>
          </c:extLst>
        </c:ser>
        <c:ser>
          <c:idx val="3"/>
          <c:order val="4"/>
          <c:tx>
            <c:strRef>
              <c:f>'8-CAP10 182 cv F-GDTF'!$Y$17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401297252770595E-2"/>
                  <c:y val="-6.1010775607892188E-3"/>
                </c:manualLayout>
              </c:layout>
              <c:tx>
                <c:rich>
                  <a:bodyPr/>
                  <a:lstStyle/>
                  <a:p>
                    <a:fld id="{D368E8B0-B30E-4E81-A13D-F90C85778FA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491044304321558"/>
                      <c:h val="9.740370325799943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F-GDTF'!$Y$18</c:f>
              <c:numCache>
                <c:formatCode>0%</c:formatCode>
                <c:ptCount val="1"/>
                <c:pt idx="0">
                  <c:v>0.2</c:v>
                </c:pt>
              </c:numCache>
            </c:numRef>
          </c:val>
          <c:extLst>
            <c:ext xmlns:c15="http://schemas.microsoft.com/office/drawing/2012/chart" uri="{02D57815-91ED-43cb-92C2-25804820EDAC}">
              <c15:datalabelsRange>
                <c15:f>'8-CAP10 182 cv F-GDTF'!$S$18</c15:f>
                <c15:dlblRangeCache>
                  <c:ptCount val="1"/>
                  <c:pt idx="0">
                    <c:v>Maxi 72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'8-CAP10 182 cv F-GDTF'!$X$19</c:f>
              <c:strCache>
                <c:ptCount val="1"/>
                <c:pt idx="0">
                  <c:v>Bas</c:v>
                </c:pt>
              </c:strCache>
            </c:strRef>
          </c:tx>
          <c:spPr>
            <a:solidFill>
              <a:schemeClr val="accent5">
                <a:lumMod val="20000"/>
                <a:lumOff val="80000"/>
              </a:schemeClr>
            </a:solidFill>
            <a:ln>
              <a:noFill/>
            </a:ln>
            <a:effectLst/>
            <a:sp3d/>
          </c:spPr>
          <c:invertIfNegative val="0"/>
          <c:dLbls>
            <c:dLbl>
              <c:idx val="0"/>
              <c:layout>
                <c:manualLayout>
                  <c:x val="7.7741957669538037E-2"/>
                  <c:y val="0"/>
                </c:manualLayout>
              </c:layout>
              <c:tx>
                <c:rich>
                  <a:bodyPr/>
                  <a:lstStyle/>
                  <a:p>
                    <a:fld id="{FBAC0556-978D-49BD-BBE0-F956DDDED47A}"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800708568391539"/>
                      <c:h val="9.7381107617013254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F-GDTF'!$X$20</c:f>
              <c:numCache>
                <c:formatCode>0%</c:formatCode>
                <c:ptCount val="1"/>
                <c:pt idx="0">
                  <c:v>0.2</c:v>
                </c:pt>
              </c:numCache>
            </c:numRef>
          </c:val>
          <c:extLst>
            <c:ext xmlns:c15="http://schemas.microsoft.com/office/drawing/2012/chart" uri="{02D57815-91ED-43cb-92C2-25804820EDAC}">
              <c15:datalabelsRange>
                <c15:f>'8-CAP10 182 cv F-GDTF'!$R$20</c15:f>
                <c15:dlblRangeCache>
                  <c:ptCount val="1"/>
                  <c:pt idx="0">
                    <c:v>Secondaire</c:v>
                  </c:pt>
                </c15:dlblRangeCache>
              </c15:datalabelsRange>
            </c:ext>
            <c:ext xmlns:c16="http://schemas.microsoft.com/office/drawing/2014/chart" uri="{C3380CC4-5D6E-409C-BE32-E72D297353CC}">
              <c16:uniqueId val="{00000001-5F61-4F24-BB86-B5EFA728895F}"/>
            </c:ext>
          </c:extLst>
        </c:ser>
        <c:ser>
          <c:idx val="0"/>
          <c:order val="1"/>
          <c:tx>
            <c:strRef>
              <c:f>'8-CAP10 182 cv F-GDTF'!$W$19</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6DF16F3F-08D9-412B-8F53-C59866A2B5A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F-GDTF'!$W$20</c:f>
              <c:numCache>
                <c:formatCode>0%</c:formatCode>
                <c:ptCount val="1"/>
                <c:pt idx="0">
                  <c:v>0.2</c:v>
                </c:pt>
              </c:numCache>
            </c:numRef>
          </c:val>
          <c:extLst>
            <c:ext xmlns:c15="http://schemas.microsoft.com/office/drawing/2012/chart" uri="{02D57815-91ED-43cb-92C2-25804820EDAC}">
              <c15:datalabelsRange>
                <c15:f>'8-CAP10 182 cv F-GDTF'!$V$20</c15:f>
                <c15:dlblRangeCache>
                  <c:ptCount val="1"/>
                  <c:pt idx="0">
                    <c:v>64%</c:v>
                  </c:pt>
                </c15:dlblRangeCache>
              </c15:datalabelsRange>
            </c:ext>
            <c:ext xmlns:c16="http://schemas.microsoft.com/office/drawing/2014/chart" uri="{C3380CC4-5D6E-409C-BE32-E72D297353CC}">
              <c16:uniqueId val="{00000004-5F61-4F24-BB86-B5EFA728895F}"/>
            </c:ext>
          </c:extLst>
        </c:ser>
        <c:ser>
          <c:idx val="4"/>
          <c:order val="2"/>
          <c:tx>
            <c:strRef>
              <c:f>'8-CAP10 182 cv F-GDTF'!$V$19</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60C2A690-5D69-49D0-A181-BFE03CD5AD1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F-GDTF'!$V$20</c:f>
              <c:numCache>
                <c:formatCode>0%</c:formatCode>
                <c:ptCount val="1"/>
                <c:pt idx="0">
                  <c:v>0.64102564102564108</c:v>
                </c:pt>
              </c:numCache>
            </c:numRef>
          </c:val>
          <c:extLst>
            <c:ext xmlns:c15="http://schemas.microsoft.com/office/drawing/2012/chart" uri="{02D57815-91ED-43cb-92C2-25804820EDAC}">
              <c15:datalabelsRange>
                <c15:f>'8-CAP10 182 cv F-GDTF'!$T$20</c15:f>
                <c15:dlblRangeCache>
                  <c:ptCount val="1"/>
                  <c:pt idx="0">
                    <c:v>50 L</c:v>
                  </c:pt>
                </c15:dlblRangeCache>
              </c15:datalabelsRange>
            </c:ext>
            <c:ext xmlns:c16="http://schemas.microsoft.com/office/drawing/2014/chart" uri="{C3380CC4-5D6E-409C-BE32-E72D297353CC}">
              <c16:uniqueId val="{00000006-5F61-4F24-BB86-B5EFA728895F}"/>
            </c:ext>
          </c:extLst>
        </c:ser>
        <c:ser>
          <c:idx val="2"/>
          <c:order val="3"/>
          <c:tx>
            <c:strRef>
              <c:f>'8-CAP10 182 cv F-GDTF'!$U$19</c:f>
              <c:strCache>
                <c:ptCount val="1"/>
                <c:pt idx="0">
                  <c:v>Transparent</c:v>
                </c:pt>
              </c:strCache>
            </c:strRef>
          </c:tx>
          <c:spPr>
            <a:solidFill>
              <a:srgbClr val="FFFFFF">
                <a:alpha val="20000"/>
              </a:srgbClr>
            </a:solidFill>
            <a:ln>
              <a:noFill/>
            </a:ln>
            <a:effectLst/>
            <a:sp3d/>
          </c:spPr>
          <c:invertIfNegative val="0"/>
          <c:val>
            <c:numRef>
              <c:f>'8-CAP10 182 cv F-GDTF'!$U$20</c:f>
              <c:numCache>
                <c:formatCode>0%</c:formatCode>
                <c:ptCount val="1"/>
                <c:pt idx="0">
                  <c:v>0.35897435897435892</c:v>
                </c:pt>
              </c:numCache>
            </c:numRef>
          </c:val>
          <c:extLst>
            <c:ext xmlns:c16="http://schemas.microsoft.com/office/drawing/2014/chart" uri="{C3380CC4-5D6E-409C-BE32-E72D297353CC}">
              <c16:uniqueId val="{00000007-5F61-4F24-BB86-B5EFA728895F}"/>
            </c:ext>
          </c:extLst>
        </c:ser>
        <c:ser>
          <c:idx val="3"/>
          <c:order val="4"/>
          <c:tx>
            <c:strRef>
              <c:f>'8-CAP10 182 cv F-GDTF'!$Y$19</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8595707324309932E-2"/>
                  <c:y val="-3.0498311186036376E-3"/>
                </c:manualLayout>
              </c:layout>
              <c:tx>
                <c:rich>
                  <a:bodyPr/>
                  <a:lstStyle/>
                  <a:p>
                    <a:fld id="{461528F9-89D8-4802-997A-3A54ACB8C77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5210102158724643"/>
                      <c:h val="9.738110761701325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'8-CAP10 182 cv F-GDTF'!$Y$20</c:f>
              <c:numCache>
                <c:formatCode>0%</c:formatCode>
                <c:ptCount val="1"/>
                <c:pt idx="0">
                  <c:v>0.2</c:v>
                </c:pt>
              </c:numCache>
            </c:numRef>
          </c:val>
          <c:extLst>
            <c:ext xmlns:c15="http://schemas.microsoft.com/office/drawing/2012/chart" uri="{02D57815-91ED-43cb-92C2-25804820EDAC}">
              <c15:datalabelsRange>
                <c15:f>'8-CAP10 182 cv F-GDTF'!$S$20</c15:f>
                <c15:dlblRangeCache>
                  <c:ptCount val="1"/>
                  <c:pt idx="0">
                    <c:v>Maxi 78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1"/>
          <c:order val="1"/>
          <c:tx>
            <c:v>Enveloppe</c:v>
          </c:tx>
          <c:spPr>
            <a:ln w="38100">
              <a:solidFill>
                <a:schemeClr val="tx1"/>
              </a:solidFill>
            </a:ln>
          </c:spPr>
          <c:marker>
            <c:symbol val="circle"/>
            <c:size val="10"/>
            <c:spPr>
              <a:solidFill>
                <a:schemeClr val="tx1"/>
              </a:solidFill>
              <a:ln>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B0F-4A3E-B8F9-0D065BBAADA2}"/>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B0F-4A3E-B8F9-0D065BBAADA2}"/>
                </c:ext>
              </c:extLst>
            </c:dLbl>
            <c:dLbl>
              <c:idx val="2"/>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B0F-4A3E-B8F9-0D065BBAADA2}"/>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B0F-4A3E-B8F9-0D065BBAADA2}"/>
                </c:ext>
              </c:extLst>
            </c:dLbl>
            <c:dLbl>
              <c:idx val="4"/>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B0F-4A3E-B8F9-0D065BBAADA2}"/>
                </c:ext>
              </c:extLst>
            </c:dLbl>
            <c:spPr>
              <a:noFill/>
              <a:ln>
                <a:noFill/>
              </a:ln>
              <a:effectLst/>
            </c:spPr>
            <c:txPr>
              <a:bodyPr wrap="square" lIns="38100" tIns="19050" rIns="38100" bIns="19050" anchor="ctr">
                <a:spAutoFit/>
              </a:bodyPr>
              <a:lstStyle/>
              <a:p>
                <a:pPr>
                  <a:defRPr sz="1200">
                    <a:solidFill>
                      <a:schemeClr val="tx1"/>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'9-TB20-F-GNCL'!$K$12:$K$17</c:f>
              <c:numCache>
                <c:formatCode>0.000</c:formatCode>
                <c:ptCount val="6"/>
                <c:pt idx="0">
                  <c:v>0.91249999999999998</c:v>
                </c:pt>
                <c:pt idx="1">
                  <c:v>0.91300000000000003</c:v>
                </c:pt>
                <c:pt idx="2">
                  <c:v>0.94899999999999995</c:v>
                </c:pt>
                <c:pt idx="3">
                  <c:v>1.0710000000000002</c:v>
                </c:pt>
                <c:pt idx="4">
                  <c:v>1.2050000000000001</c:v>
                </c:pt>
                <c:pt idx="5">
                  <c:v>1.2050000000000001</c:v>
                </c:pt>
              </c:numCache>
            </c:numRef>
          </c:xVal>
          <c:yVal>
            <c:numRef>
              <c:f>'9-TB20-F-GNCL'!$J$12:$J$17</c:f>
              <c:numCache>
                <c:formatCode>#\ ##0" kg"</c:formatCode>
                <c:ptCount val="6"/>
                <c:pt idx="0">
                  <c:v>800</c:v>
                </c:pt>
                <c:pt idx="1">
                  <c:v>1000</c:v>
                </c:pt>
                <c:pt idx="2">
                  <c:v>1250</c:v>
                </c:pt>
                <c:pt idx="3">
                  <c:v>1400</c:v>
                </c:pt>
                <c:pt idx="4">
                  <c:v>1400</c:v>
                </c:pt>
                <c:pt idx="5">
                  <c:v>800</c:v>
                </c:pt>
              </c:numCache>
            </c:numRef>
          </c:yVal>
          <c:smooth val="0"/>
          <c:extLst>
            <c:ext xmlns:c16="http://schemas.microsoft.com/office/drawing/2014/chart" uri="{C3380CC4-5D6E-409C-BE32-E72D297353CC}">
              <c16:uniqueId val="{00000005-0B0F-4A3E-B8F9-0D065BBAADA2}"/>
            </c:ext>
          </c:extLst>
        </c:ser>
        <c:ser>
          <c:idx val="2"/>
          <c:order val="2"/>
          <c:tx>
            <c:v>Centrage2</c:v>
          </c:tx>
          <c:spPr>
            <a:ln>
              <a:solidFill>
                <a:srgbClr val="FF0000"/>
              </a:solidFill>
            </a:ln>
          </c:spPr>
          <c:marker>
            <c:symbol val="diamond"/>
            <c:size val="10"/>
            <c:spPr>
              <a:solidFill>
                <a:schemeClr val="accent2">
                  <a:lumMod val="50000"/>
                </a:schemeClr>
              </a:solidFill>
              <a:ln>
                <a:solidFill>
                  <a:schemeClr val="accent2">
                    <a:lumMod val="50000"/>
                  </a:schemeClr>
                </a:solidFill>
              </a:ln>
            </c:spPr>
          </c:marker>
          <c:dPt>
            <c:idx val="0"/>
            <c:marker>
              <c:spPr>
                <a:solidFill>
                  <a:srgbClr val="FF0000"/>
                </a:solidFill>
                <a:ln w="6350">
                  <a:solidFill>
                    <a:srgbClr val="FF0000"/>
                  </a:solidFill>
                </a:ln>
              </c:spPr>
            </c:marker>
            <c:bubble3D val="0"/>
            <c:extLst>
              <c:ext xmlns:c16="http://schemas.microsoft.com/office/drawing/2014/chart" uri="{C3380CC4-5D6E-409C-BE32-E72D297353CC}">
                <c16:uniqueId val="{00000006-0B0F-4A3E-B8F9-0D065BBAADA2}"/>
              </c:ext>
            </c:extLst>
          </c:dPt>
          <c:dLbls>
            <c:dLbl>
              <c:idx val="0"/>
              <c:numFmt formatCode="##0&quot; kg&quot;" sourceLinked="0"/>
              <c:spPr>
                <a:noFill/>
                <a:ln>
                  <a:noFill/>
                </a:ln>
                <a:effectLst/>
              </c:spPr>
              <c:txPr>
                <a:bodyPr wrap="square" lIns="38100" tIns="19050" rIns="38100" bIns="19050" anchor="ctr">
                  <a:spAutoFit/>
                </a:bodyPr>
                <a:lstStyle/>
                <a:p>
                  <a:pPr>
                    <a:defRPr sz="1300">
                      <a:solidFill>
                        <a:srgbClr val="FF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6-0B0F-4A3E-B8F9-0D065BBAADA2}"/>
                </c:ext>
              </c:extLst>
            </c:dLbl>
            <c:dLbl>
              <c:idx val="1"/>
              <c:numFmt formatCode="##0&quot; kg&quot;" sourceLinked="0"/>
              <c:spPr>
                <a:noFill/>
                <a:ln>
                  <a:noFill/>
                </a:ln>
                <a:effectLst/>
              </c:spPr>
              <c:txPr>
                <a:bodyPr wrap="square" lIns="38100" tIns="19050" rIns="38100" bIns="19050" anchor="ctr">
                  <a:spAutoFit/>
                </a:bodyPr>
                <a:lstStyle/>
                <a:p>
                  <a:pPr>
                    <a:defRPr sz="13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7-0B0F-4A3E-B8F9-0D065BBAADA2}"/>
                </c:ext>
              </c:extLst>
            </c:dLbl>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'9-TB20-F-GNCL'!$K$18:$K$19</c:f>
              <c:numCache>
                <c:formatCode>0.000</c:formatCode>
                <c:ptCount val="2"/>
                <c:pt idx="0">
                  <c:v>1.0514929874019907</c:v>
                </c:pt>
                <c:pt idx="1">
                  <c:v>1.0496892163889497</c:v>
                </c:pt>
              </c:numCache>
            </c:numRef>
          </c:xVal>
          <c:yVal>
            <c:numRef>
              <c:f>'9-TB20-F-GNCL'!$J$18:$J$19</c:f>
              <c:numCache>
                <c:formatCode>#\ ##0" kg"</c:formatCode>
                <c:ptCount val="2"/>
                <c:pt idx="0">
                  <c:v>1135.1000000000001</c:v>
                </c:pt>
                <c:pt idx="1">
                  <c:v>1077.116</c:v>
                </c:pt>
              </c:numCache>
            </c:numRef>
          </c:yVal>
          <c:smooth val="0"/>
          <c:extLst>
            <c:ext xmlns:c16="http://schemas.microsoft.com/office/drawing/2014/chart" uri="{C3380CC4-5D6E-409C-BE32-E72D297353CC}">
              <c16:uniqueId val="{00000008-0B0F-4A3E-B8F9-0D065BBAADA2}"/>
            </c:ext>
          </c:extLst>
        </c:ser>
        <c:dLbls>
          <c:showLegendKey val="0"/>
          <c:showVal val="0"/>
          <c:showCatName val="0"/>
          <c:showSerName val="0"/>
          <c:showPercent val="0"/>
          <c:showBubbleSize val="0"/>
        </c:dLbls>
        <c:axId val="563522336"/>
        <c:axId val="1"/>
        <c:extLst>
          <c:ext xmlns:c15="http://schemas.microsoft.com/office/drawing/2012/chart" uri="{02D57815-91ED-43cb-92C2-25804820EDAC}">
            <c15:filteredScatterSeries>
              <c15:ser>
                <c:idx val="0"/>
                <c:order val="0"/>
                <c:tx>
                  <c:v>Centrage</c:v>
                </c:tx>
                <c:spPr>
                  <a:ln w="19050">
                    <a:solidFill>
                      <a:srgbClr val="FF0000"/>
                    </a:solidFill>
                  </a:ln>
                </c:spPr>
                <c:marker>
                  <c:symbol val="diamond"/>
                  <c:size val="10"/>
                  <c:spPr>
                    <a:solidFill>
                      <a:schemeClr val="accent2">
                        <a:lumMod val="50000"/>
                      </a:schemeClr>
                    </a:solidFill>
                    <a:ln>
                      <a:solidFill>
                        <a:schemeClr val="accent2">
                          <a:lumMod val="50000"/>
                        </a:schemeClr>
                      </a:solidFill>
                    </a:ln>
                  </c:spPr>
                </c:marker>
                <c:dLbls>
                  <c:numFmt formatCode="##0&quot; kg&quot;" sourceLinked="0"/>
                  <c:spPr>
                    <a:noFill/>
                    <a:ln>
                      <a:noFill/>
                    </a:ln>
                    <a:effectLst/>
                  </c:spPr>
                  <c:txPr>
                    <a:bodyPr wrap="square" lIns="38100" tIns="19050" rIns="38100" bIns="19050" anchor="ctr">
                      <a:spAutoFit/>
                    </a:bodyPr>
                    <a:lstStyle/>
                    <a:p>
                      <a:pPr>
                        <a:defRPr sz="1300">
                          <a:latin typeface="Book Antiqua" panose="02040602050305030304" pitchFamily="18" charset="0"/>
                        </a:defRPr>
                      </a:pPr>
                      <a:endParaRPr lang="fr-FR"/>
                    </a:p>
                  </c:txPr>
                  <c:showLegendKey val="0"/>
                  <c:showVal val="1"/>
                  <c:showCatName val="0"/>
                  <c:showSerName val="0"/>
                  <c:showPercent val="0"/>
                  <c:showBubbleSize val="0"/>
                  <c:showLeaderLines val="0"/>
                  <c:extLst>
                    <c:ext uri="{CE6537A1-D6FC-4f65-9D91-7224C49458BB}">
                      <c15:showLeaderLines val="1"/>
                    </c:ext>
                  </c:extLst>
                </c:dLbls>
                <c:yVal>
                  <c:numRef>
                    <c:extLst>
                      <c:ext uri="{02D57815-91ED-43cb-92C2-25804820EDAC}">
                        <c15:formulaRef>
                          <c15:sqref>'9-TB20-F-GNCL'!$S$33:$S$38</c15:sqref>
                        </c15:formulaRef>
                      </c:ext>
                    </c:extLst>
                    <c:numCache>
                      <c:formatCode>0.00</c:formatCode>
                      <c:ptCount val="6"/>
                      <c:pt idx="0">
                        <c:v>884.7</c:v>
                      </c:pt>
                      <c:pt idx="1">
                        <c:v>1038.7</c:v>
                      </c:pt>
                      <c:pt idx="2">
                        <c:v>1038.7</c:v>
                      </c:pt>
                      <c:pt idx="3">
                        <c:v>1048.7</c:v>
                      </c:pt>
                      <c:pt idx="4">
                        <c:v>1048.7</c:v>
                      </c:pt>
                      <c:pt idx="5">
                        <c:v>1135.1000000000001</c:v>
                      </c:pt>
                    </c:numCache>
                  </c:numRef>
                </c:yVal>
                <c:smooth val="0"/>
                <c:extLst>
                  <c:ext xmlns:c16="http://schemas.microsoft.com/office/drawing/2014/chart" uri="{C3380CC4-5D6E-409C-BE32-E72D297353CC}">
                    <c16:uniqueId val="{00000009-0B0F-4A3E-B8F9-0D065BBAADA2}"/>
                  </c:ext>
                </c:extLst>
              </c15:ser>
            </c15:filteredScatterSeries>
          </c:ext>
        </c:extLst>
      </c:scatterChart>
      <c:valAx>
        <c:axId val="563522336"/>
        <c:scaling>
          <c:orientation val="minMax"/>
          <c:max val="1.2249999999999999"/>
          <c:min val="0.89200000000000013"/>
        </c:scaling>
        <c:delete val="0"/>
        <c:axPos val="b"/>
        <c:majorGridlines>
          <c:spPr>
            <a:ln w="3175">
              <a:solidFill>
                <a:srgbClr val="000000"/>
              </a:solidFill>
              <a:prstDash val="solid"/>
            </a:ln>
          </c:spPr>
        </c:majorGridlines>
        <c:title>
          <c:tx>
            <c:rich>
              <a:bodyPr/>
              <a:lstStyle/>
              <a:p>
                <a:pPr>
                  <a:defRPr sz="1200" b="1" i="0" u="none" strike="noStrike" baseline="0">
                    <a:solidFill>
                      <a:schemeClr val="tx1"/>
                    </a:solidFill>
                    <a:latin typeface="Book Antiqua" panose="02040602050305030304" pitchFamily="18" charset="0"/>
                    <a:ea typeface="Arial"/>
                    <a:cs typeface="Arial"/>
                  </a:defRPr>
                </a:pPr>
                <a:r>
                  <a:rPr lang="fr-FR" sz="1200">
                    <a:solidFill>
                      <a:schemeClr val="tx1"/>
                    </a:solidFill>
                    <a:latin typeface="Book Antiqua" panose="02040602050305030304" pitchFamily="18" charset="0"/>
                  </a:rPr>
                  <a:t>Bras</a:t>
                </a:r>
                <a:r>
                  <a:rPr lang="fr-FR" sz="1200" baseline="0">
                    <a:solidFill>
                      <a:schemeClr val="tx1"/>
                    </a:solidFill>
                    <a:latin typeface="Book Antiqua" panose="02040602050305030304" pitchFamily="18" charset="0"/>
                  </a:rPr>
                  <a:t> de levier</a:t>
                </a:r>
                <a:r>
                  <a:rPr lang="fr-FR" sz="1200">
                    <a:solidFill>
                      <a:schemeClr val="tx1"/>
                    </a:solidFill>
                    <a:latin typeface="Book Antiqua" panose="02040602050305030304" pitchFamily="18" charset="0"/>
                  </a:rPr>
                  <a:t> (m)</a:t>
                </a:r>
              </a:p>
            </c:rich>
          </c:tx>
          <c:layout>
            <c:manualLayout>
              <c:xMode val="edge"/>
              <c:yMode val="edge"/>
              <c:x val="0.43981641287376394"/>
              <c:y val="0.9496864428516810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1"/>
        <c:crosses val="autoZero"/>
        <c:crossBetween val="midCat"/>
        <c:majorUnit val="5.000000000000001E-2"/>
        <c:minorUnit val="1.0000000000000002E-3"/>
      </c:valAx>
      <c:valAx>
        <c:axId val="1"/>
        <c:scaling>
          <c:orientation val="minMax"/>
          <c:max val="1450"/>
          <c:min val="800"/>
        </c:scaling>
        <c:delete val="0"/>
        <c:axPos val="l"/>
        <c:majorGridlines>
          <c:spPr>
            <a:ln w="3175">
              <a:solidFill>
                <a:srgbClr val="000000"/>
              </a:solidFill>
              <a:prstDash val="solid"/>
            </a:ln>
          </c:spPr>
        </c:majorGridlines>
        <c:title>
          <c:tx>
            <c:rich>
              <a:bodyPr/>
              <a:lstStyle/>
              <a:p>
                <a:pPr>
                  <a:defRPr sz="1200" b="1" i="0" u="sng" strike="noStrike" baseline="0">
                    <a:solidFill>
                      <a:schemeClr val="tx1"/>
                    </a:solidFill>
                    <a:latin typeface="Book Antiqua" panose="02040602050305030304" pitchFamily="18" charset="0"/>
                    <a:ea typeface="Arial"/>
                    <a:cs typeface="Arial"/>
                  </a:defRPr>
                </a:pPr>
                <a:r>
                  <a:rPr lang="fr-FR" sz="1200" u="sng">
                    <a:solidFill>
                      <a:schemeClr val="tx1"/>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chemeClr val="tx1"/>
                </a:solidFill>
                <a:latin typeface="Book Antiqua" panose="02040602050305030304" pitchFamily="18" charset="0"/>
                <a:ea typeface="Arial"/>
                <a:cs typeface="Arial"/>
              </a:defRPr>
            </a:pPr>
            <a:endParaRPr lang="fr-FR"/>
          </a:p>
        </c:txPr>
        <c:crossAx val="563522336"/>
        <c:crosses val="autoZero"/>
        <c:crossBetween val="midCat"/>
        <c:majorUnit val="10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'9-TB20-F-GNCL'!$Y$17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4.5681879605772871E-2"/>
                  <c:y val="-3.0519469473702368E-3"/>
                </c:manualLayout>
              </c:layout>
              <c:tx>
                <c:rich>
                  <a:bodyPr rot="0" spcFirstLastPara="1" vertOverflow="ellipsis" vert="horz" wrap="square" lIns="38100" tIns="19050" rIns="38100" bIns="19050" anchor="ctr" anchorCtr="1">
                    <a:noAutofit/>
                  </a:bodyPr>
                  <a:lstStyle/>
                  <a:p>
                    <a:pPr>
                      <a:defRPr sz="1100" b="1" i="0" u="none" strike="noStrike" kern="1200" baseline="0">
                        <a:solidFill>
                          <a:srgbClr val="002060"/>
                        </a:solidFill>
                        <a:latin typeface="Book Antiqua" panose="02040602050305030304" pitchFamily="18" charset="0"/>
                        <a:ea typeface="+mn-ea"/>
                        <a:cs typeface="+mn-cs"/>
                      </a:defRPr>
                    </a:pPr>
                    <a:fld id="{6F5F8E47-8F52-41AC-8FC4-BF91B9E16B1B}" type="CELLRANGE">
                      <a:rPr lang="en-US"/>
                      <a:pPr>
                        <a:defRPr sz="1100" b="1">
                          <a:solidFill>
                            <a:srgbClr val="002060"/>
                          </a:solidFill>
                          <a:latin typeface="Book Antiqua" panose="02040602050305030304" pitchFamily="18" charset="0"/>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4099195226453594"/>
                      <c:h val="0.10432915714493161"/>
                    </c:manualLayout>
                  </c15:layout>
                  <c15:dlblFieldTable/>
                  <c15:showDataLabelsRange val="1"/>
                </c:ext>
                <c:ext xmlns:c16="http://schemas.microsoft.com/office/drawing/2014/chart" uri="{C3380CC4-5D6E-409C-BE32-E72D297353CC}">
                  <c16:uniqueId val="{00000000-218A-43C8-B73B-58555CEEDE9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'9-TB20-F-GNCL'!$Y$18</c:f>
              <c:numCache>
                <c:formatCode>0%</c:formatCode>
                <c:ptCount val="1"/>
                <c:pt idx="0">
                  <c:v>0.2</c:v>
                </c:pt>
              </c:numCache>
            </c:numRef>
          </c:val>
          <c:extLst>
            <c:ext xmlns:c15="http://schemas.microsoft.com/office/drawing/2012/chart" uri="{02D57815-91ED-43cb-92C2-25804820EDAC}">
              <c15:datalabelsRange>
                <c15:f>'9-TB20-F-GNCL'!$S$18</c15:f>
                <c15:dlblRangeCache>
                  <c:ptCount val="1"/>
                  <c:pt idx="0">
                    <c:v>Aile gauche</c:v>
                  </c:pt>
                </c15:dlblRangeCache>
              </c15:datalabelsRange>
            </c:ext>
            <c:ext xmlns:c16="http://schemas.microsoft.com/office/drawing/2014/chart" uri="{C3380CC4-5D6E-409C-BE32-E72D297353CC}">
              <c16:uniqueId val="{00000001-218A-43C8-B73B-58555CEEDE97}"/>
            </c:ext>
          </c:extLst>
        </c:ser>
        <c:ser>
          <c:idx val="0"/>
          <c:order val="1"/>
          <c:tx>
            <c:strRef>
              <c:f>'9-TB20-F-GNCL'!$X$17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218A-43C8-B73B-58555CEEDE97}"/>
              </c:ext>
            </c:extLst>
          </c:dPt>
          <c:dLbls>
            <c:dLbl>
              <c:idx val="0"/>
              <c:tx>
                <c:rich>
                  <a:bodyPr/>
                  <a:lstStyle/>
                  <a:p>
                    <a:fld id="{688D5D59-9A2E-4B8D-BD09-78A37932AEA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18A-43C8-B73B-58555CEEDE9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'9-TB20-F-GNCL'!$X$18</c:f>
              <c:numCache>
                <c:formatCode>0%</c:formatCode>
                <c:ptCount val="1"/>
                <c:pt idx="0">
                  <c:v>0.2</c:v>
                </c:pt>
              </c:numCache>
            </c:numRef>
          </c:val>
          <c:extLst>
            <c:ext xmlns:c15="http://schemas.microsoft.com/office/drawing/2012/chart" uri="{02D57815-91ED-43cb-92C2-25804820EDAC}">
              <c15:datalabelsRange>
                <c15:f>'9-TB20-F-GNCL'!$W$18</c15:f>
                <c15:dlblRangeCache>
                  <c:ptCount val="1"/>
                  <c:pt idx="0">
                    <c:v>30%</c:v>
                  </c:pt>
                </c15:dlblRangeCache>
              </c15:datalabelsRange>
            </c:ext>
            <c:ext xmlns:c16="http://schemas.microsoft.com/office/drawing/2014/chart" uri="{C3380CC4-5D6E-409C-BE32-E72D297353CC}">
              <c16:uniqueId val="{00000004-218A-43C8-B73B-58555CEEDE97}"/>
            </c:ext>
          </c:extLst>
        </c:ser>
        <c:ser>
          <c:idx val="4"/>
          <c:order val="2"/>
          <c:tx>
            <c:strRef>
              <c:f>'9-TB20-F-GNCL'!$W$17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ACD95ED4-1C94-44E8-9902-95E33F69FD2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18A-43C8-B73B-58555CEEDE9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'9-TB20-F-GNCL'!$W$18</c:f>
              <c:numCache>
                <c:formatCode>0%</c:formatCode>
                <c:ptCount val="1"/>
                <c:pt idx="0">
                  <c:v>0.29761904761904762</c:v>
                </c:pt>
              </c:numCache>
            </c:numRef>
          </c:val>
          <c:extLst>
            <c:ext xmlns:c15="http://schemas.microsoft.com/office/drawing/2012/chart" uri="{02D57815-91ED-43cb-92C2-25804820EDAC}">
              <c15:datalabelsRange>
                <c15:f>'9-TB20-F-GNCL'!$U$18</c15:f>
                <c15:dlblRangeCache>
                  <c:ptCount val="1"/>
                  <c:pt idx="0">
                    <c:v>50 L</c:v>
                  </c:pt>
                </c15:dlblRangeCache>
              </c15:datalabelsRange>
            </c:ext>
            <c:ext xmlns:c16="http://schemas.microsoft.com/office/drawing/2014/chart" uri="{C3380CC4-5D6E-409C-BE32-E72D297353CC}">
              <c16:uniqueId val="{00000006-218A-43C8-B73B-58555CEEDE97}"/>
            </c:ext>
          </c:extLst>
        </c:ser>
        <c:ser>
          <c:idx val="2"/>
          <c:order val="3"/>
          <c:tx>
            <c:strRef>
              <c:f>'9-TB20-F-GNCL'!$V$17</c:f>
              <c:strCache>
                <c:ptCount val="1"/>
                <c:pt idx="0">
                  <c:v>Transparent</c:v>
                </c:pt>
              </c:strCache>
            </c:strRef>
          </c:tx>
          <c:spPr>
            <a:solidFill>
              <a:srgbClr val="FFFFFF">
                <a:alpha val="20000"/>
              </a:srgbClr>
            </a:solidFill>
            <a:ln>
              <a:noFill/>
            </a:ln>
            <a:effectLst/>
            <a:sp3d/>
          </c:spPr>
          <c:invertIfNegative val="0"/>
          <c:val>
            <c:numRef>
              <c:f>'9-TB20-F-GNCL'!$V$18</c:f>
              <c:numCache>
                <c:formatCode>0%</c:formatCode>
                <c:ptCount val="1"/>
                <c:pt idx="0">
                  <c:v>0.70238095238095233</c:v>
                </c:pt>
              </c:numCache>
            </c:numRef>
          </c:val>
          <c:extLst>
            <c:ext xmlns:c16="http://schemas.microsoft.com/office/drawing/2014/chart" uri="{C3380CC4-5D6E-409C-BE32-E72D297353CC}">
              <c16:uniqueId val="{00000007-218A-43C8-B73B-58555CEEDE97}"/>
            </c:ext>
          </c:extLst>
        </c:ser>
        <c:ser>
          <c:idx val="3"/>
          <c:order val="4"/>
          <c:tx>
            <c:strRef>
              <c:f>'9-TB20-F-GNCL'!$Z$17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8570101033640238E-2"/>
                  <c:y val="-6.0838393546365716E-3"/>
                </c:manualLayout>
              </c:layout>
              <c:tx>
                <c:rich>
                  <a:bodyPr/>
                  <a:lstStyle/>
                  <a:p>
                    <a:fld id="{8FF7F1E4-0C09-40A6-84AD-ACCA5030256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729729165361563"/>
                      <c:h val="9.7403703257999436E-2"/>
                    </c:manualLayout>
                  </c15:layout>
                  <c15:dlblFieldTable/>
                  <c15:showDataLabelsRange val="1"/>
                </c:ext>
                <c:ext xmlns:c16="http://schemas.microsoft.com/office/drawing/2014/chart" uri="{C3380CC4-5D6E-409C-BE32-E72D297353CC}">
                  <c16:uniqueId val="{00000008-218A-43C8-B73B-58555CEEDE9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'9-TB20-F-GNCL'!$Z$18</c:f>
              <c:numCache>
                <c:formatCode>0%</c:formatCode>
                <c:ptCount val="1"/>
                <c:pt idx="0">
                  <c:v>0.2</c:v>
                </c:pt>
              </c:numCache>
            </c:numRef>
          </c:val>
          <c:extLst>
            <c:ext xmlns:c15="http://schemas.microsoft.com/office/drawing/2012/chart" uri="{02D57815-91ED-43cb-92C2-25804820EDAC}">
              <c15:datalabelsRange>
                <c15:f>'9-TB20-F-GNCL'!$T$18</c15:f>
                <c15:dlblRangeCache>
                  <c:ptCount val="1"/>
                  <c:pt idx="0">
                    <c:v>Maxi 168 L</c:v>
                  </c:pt>
                </c15:dlblRangeCache>
              </c15:datalabelsRange>
            </c:ext>
            <c:ext xmlns:c16="http://schemas.microsoft.com/office/drawing/2014/chart" uri="{C3380CC4-5D6E-409C-BE32-E72D297353CC}">
              <c16:uniqueId val="{00000009-218A-43C8-B73B-58555CEEDE97}"/>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'9-TB20-F-GNCL'!$Y$15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86576298088723E-2"/>
                  <c:y val="0"/>
                </c:manualLayout>
              </c:layout>
              <c:tx>
                <c:rich>
                  <a:bodyPr/>
                  <a:lstStyle/>
                  <a:p>
                    <a:fld id="{374FD659-67E8-4C7C-9BF8-48B08EC5F0E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921766703175946"/>
                      <c:h val="9.7131593810765485E-2"/>
                    </c:manualLayout>
                  </c15:layout>
                  <c15:dlblFieldTable/>
                  <c15:showDataLabelsRange val="1"/>
                </c:ext>
                <c:ext xmlns:c16="http://schemas.microsoft.com/office/drawing/2014/chart" uri="{C3380CC4-5D6E-409C-BE32-E72D297353CC}">
                  <c16:uniqueId val="{00000000-9E53-4C43-96EE-DFE075985DE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'9-TB20-F-GNCL'!$Y$16</c:f>
              <c:numCache>
                <c:formatCode>0%</c:formatCode>
                <c:ptCount val="1"/>
                <c:pt idx="0">
                  <c:v>0.2</c:v>
                </c:pt>
              </c:numCache>
            </c:numRef>
          </c:val>
          <c:extLst>
            <c:ext xmlns:c15="http://schemas.microsoft.com/office/drawing/2012/chart" uri="{02D57815-91ED-43cb-92C2-25804820EDAC}">
              <c15:datalabelsRange>
                <c15:f>'9-TB20-F-GNCL'!$S$16</c15:f>
                <c15:dlblRangeCache>
                  <c:ptCount val="1"/>
                  <c:pt idx="0">
                    <c:v>Aile droite</c:v>
                  </c:pt>
                </c15:dlblRangeCache>
              </c15:datalabelsRange>
            </c:ext>
            <c:ext xmlns:c16="http://schemas.microsoft.com/office/drawing/2014/chart" uri="{C3380CC4-5D6E-409C-BE32-E72D297353CC}">
              <c16:uniqueId val="{00000001-9E53-4C43-96EE-DFE075985DE1}"/>
            </c:ext>
          </c:extLst>
        </c:ser>
        <c:ser>
          <c:idx val="0"/>
          <c:order val="1"/>
          <c:tx>
            <c:strRef>
              <c:f>'9-TB20-F-GNCL'!$X$15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9E53-4C43-96EE-DFE075985DE1}"/>
              </c:ext>
            </c:extLst>
          </c:dPt>
          <c:dLbls>
            <c:dLbl>
              <c:idx val="0"/>
              <c:tx>
                <c:rich>
                  <a:bodyPr/>
                  <a:lstStyle/>
                  <a:p>
                    <a:fld id="{BB5D4AA2-54C0-4413-B256-C866FFFA5DA2}"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E53-4C43-96EE-DFE075985DE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'9-TB20-F-GNCL'!$X$16</c:f>
              <c:numCache>
                <c:formatCode>0%</c:formatCode>
                <c:ptCount val="1"/>
                <c:pt idx="0">
                  <c:v>0.2</c:v>
                </c:pt>
              </c:numCache>
            </c:numRef>
          </c:val>
          <c:extLst>
            <c:ext xmlns:c15="http://schemas.microsoft.com/office/drawing/2012/chart" uri="{02D57815-91ED-43cb-92C2-25804820EDAC}">
              <c15:datalabelsRange>
                <c15:f>'9-TB20-F-GNCL'!$W$16</c15:f>
                <c15:dlblRangeCache>
                  <c:ptCount val="1"/>
                  <c:pt idx="0">
                    <c:v>42%</c:v>
                  </c:pt>
                </c15:dlblRangeCache>
              </c15:datalabelsRange>
            </c:ext>
            <c:ext xmlns:c16="http://schemas.microsoft.com/office/drawing/2014/chart" uri="{C3380CC4-5D6E-409C-BE32-E72D297353CC}">
              <c16:uniqueId val="{00000004-9E53-4C43-96EE-DFE075985DE1}"/>
            </c:ext>
          </c:extLst>
        </c:ser>
        <c:ser>
          <c:idx val="4"/>
          <c:order val="2"/>
          <c:tx>
            <c:strRef>
              <c:f>'9-TB20-F-GNCL'!$W$15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153ED681-51DF-4FC4-ADFC-01E87E7951D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E53-4C43-96EE-DFE075985DE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'9-TB20-F-GNCL'!$W$16</c:f>
              <c:numCache>
                <c:formatCode>0%</c:formatCode>
                <c:ptCount val="1"/>
                <c:pt idx="0">
                  <c:v>0.41666666666666669</c:v>
                </c:pt>
              </c:numCache>
            </c:numRef>
          </c:val>
          <c:extLst>
            <c:ext xmlns:c15="http://schemas.microsoft.com/office/drawing/2012/chart" uri="{02D57815-91ED-43cb-92C2-25804820EDAC}">
              <c15:datalabelsRange>
                <c15:f>'9-TB20-F-GNCL'!$U$16</c15:f>
                <c15:dlblRangeCache>
                  <c:ptCount val="1"/>
                  <c:pt idx="0">
                    <c:v>70 L</c:v>
                  </c:pt>
                </c15:dlblRangeCache>
              </c15:datalabelsRange>
            </c:ext>
            <c:ext xmlns:c16="http://schemas.microsoft.com/office/drawing/2014/chart" uri="{C3380CC4-5D6E-409C-BE32-E72D297353CC}">
              <c16:uniqueId val="{00000006-9E53-4C43-96EE-DFE075985DE1}"/>
            </c:ext>
          </c:extLst>
        </c:ser>
        <c:ser>
          <c:idx val="2"/>
          <c:order val="3"/>
          <c:tx>
            <c:strRef>
              <c:f>'9-TB20-F-GNCL'!$V$15</c:f>
              <c:strCache>
                <c:ptCount val="1"/>
                <c:pt idx="0">
                  <c:v>Transparent</c:v>
                </c:pt>
              </c:strCache>
            </c:strRef>
          </c:tx>
          <c:spPr>
            <a:solidFill>
              <a:srgbClr val="FFFFFF">
                <a:alpha val="20000"/>
              </a:srgbClr>
            </a:solidFill>
            <a:ln>
              <a:noFill/>
            </a:ln>
            <a:effectLst/>
            <a:sp3d/>
          </c:spPr>
          <c:invertIfNegative val="0"/>
          <c:val>
            <c:numRef>
              <c:f>'9-TB20-F-GNCL'!$V$16</c:f>
              <c:numCache>
                <c:formatCode>0%</c:formatCode>
                <c:ptCount val="1"/>
                <c:pt idx="0">
                  <c:v>0.58333333333333326</c:v>
                </c:pt>
              </c:numCache>
            </c:numRef>
          </c:val>
          <c:extLst>
            <c:ext xmlns:c16="http://schemas.microsoft.com/office/drawing/2014/chart" uri="{C3380CC4-5D6E-409C-BE32-E72D297353CC}">
              <c16:uniqueId val="{00000007-9E53-4C43-96EE-DFE075985DE1}"/>
            </c:ext>
          </c:extLst>
        </c:ser>
        <c:ser>
          <c:idx val="3"/>
          <c:order val="4"/>
          <c:tx>
            <c:strRef>
              <c:f>'9-TB20-F-GNCL'!$Z$15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4080454488280772E-2"/>
                  <c:y val="-3.0420167181573906E-3"/>
                </c:manualLayout>
              </c:layout>
              <c:tx>
                <c:rich>
                  <a:bodyPr/>
                  <a:lstStyle/>
                  <a:p>
                    <a:fld id="{1506E909-0074-453E-A394-1E00CF22AC8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937579222074822"/>
                      <c:h val="9.7131593810765485E-2"/>
                    </c:manualLayout>
                  </c15:layout>
                  <c15:dlblFieldTable/>
                  <c15:showDataLabelsRange val="1"/>
                </c:ext>
                <c:ext xmlns:c16="http://schemas.microsoft.com/office/drawing/2014/chart" uri="{C3380CC4-5D6E-409C-BE32-E72D297353CC}">
                  <c16:uniqueId val="{00000008-9E53-4C43-96EE-DFE075985DE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'9-TB20-F-GNCL'!$Z$16</c:f>
              <c:numCache>
                <c:formatCode>0%</c:formatCode>
                <c:ptCount val="1"/>
                <c:pt idx="0">
                  <c:v>0.2</c:v>
                </c:pt>
              </c:numCache>
            </c:numRef>
          </c:val>
          <c:extLst>
            <c:ext xmlns:c15="http://schemas.microsoft.com/office/drawing/2012/chart" uri="{02D57815-91ED-43cb-92C2-25804820EDAC}">
              <c15:datalabelsRange>
                <c15:f>'9-TB20-F-GNCL'!$T$16</c15:f>
                <c15:dlblRangeCache>
                  <c:ptCount val="1"/>
                  <c:pt idx="0">
                    <c:v>Maxi 168 L</c:v>
                  </c:pt>
                </c15:dlblRangeCache>
              </c15:datalabelsRange>
            </c:ext>
            <c:ext xmlns:c16="http://schemas.microsoft.com/office/drawing/2014/chart" uri="{C3380CC4-5D6E-409C-BE32-E72D297353CC}">
              <c16:uniqueId val="{00000009-9E53-4C43-96EE-DFE075985DE1}"/>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'1-PA18-F-GLLN'!$AA$17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7.3206072933711758E-2"/>
                  <c:y val="0"/>
                </c:manualLayout>
              </c:layout>
              <c:tx>
                <c:rich>
                  <a:bodyPr/>
                  <a:lstStyle/>
                  <a:p>
                    <a:fld id="{268B85EF-C1C6-47ED-8C70-ED7396634D6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7822393132463361"/>
                      <c:h val="9.7743570732488044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'1-PA18-F-GLLN'!$AA$18</c:f>
              <c:numCache>
                <c:formatCode>0%</c:formatCode>
                <c:ptCount val="1"/>
                <c:pt idx="0">
                  <c:v>0.2</c:v>
                </c:pt>
              </c:numCache>
            </c:numRef>
          </c:val>
          <c:extLst>
            <c:ext xmlns:c15="http://schemas.microsoft.com/office/drawing/2012/chart" uri="{02D57815-91ED-43cb-92C2-25804820EDAC}">
              <c15:datalabelsRange>
                <c15:f>'1-PA18-F-GLLN'!$T$18</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'1-PA18-F-GLLN'!$Z$17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5467A9FC-8046-4D1B-91B1-7D6886D783D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'1-PA18-F-GLLN'!$Z$18</c:f>
              <c:numCache>
                <c:formatCode>0%</c:formatCode>
                <c:ptCount val="1"/>
                <c:pt idx="0">
                  <c:v>0.2</c:v>
                </c:pt>
              </c:numCache>
            </c:numRef>
          </c:val>
          <c:extLst>
            <c:ext xmlns:c15="http://schemas.microsoft.com/office/drawing/2012/chart" uri="{02D57815-91ED-43cb-92C2-25804820EDAC}">
              <c15:datalabelsRange>
                <c15:f>'1-PA18-F-GLLN'!$Y$18</c15:f>
                <c15:dlblRangeCache>
                  <c:ptCount val="1"/>
                  <c:pt idx="0">
                    <c:v>38%</c:v>
                  </c:pt>
                </c15:dlblRangeCache>
              </c15:datalabelsRange>
            </c:ext>
            <c:ext xmlns:c16="http://schemas.microsoft.com/office/drawing/2014/chart" uri="{C3380CC4-5D6E-409C-BE32-E72D297353CC}">
              <c16:uniqueId val="{00000004-5F61-4F24-BB86-B5EFA728895F}"/>
            </c:ext>
          </c:extLst>
        </c:ser>
        <c:ser>
          <c:idx val="4"/>
          <c:order val="2"/>
          <c:tx>
            <c:strRef>
              <c:f>'1-PA18-F-GLLN'!$Y$17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6B49B25F-156E-4D0C-87EE-F7F5BB0ADFD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'1-PA18-F-GLLN'!$Y$18</c:f>
              <c:numCache>
                <c:formatCode>0%</c:formatCode>
                <c:ptCount val="1"/>
                <c:pt idx="0">
                  <c:v>0.38461538461538464</c:v>
                </c:pt>
              </c:numCache>
            </c:numRef>
          </c:val>
          <c:extLst>
            <c:ext xmlns:c15="http://schemas.microsoft.com/office/drawing/2012/chart" uri="{02D57815-91ED-43cb-92C2-25804820EDAC}">
              <c15:datalabelsRange>
                <c15:f>'1-PA18-F-GLLN'!$V$18</c15:f>
                <c15:dlblRangeCache>
                  <c:ptCount val="1"/>
                  <c:pt idx="0">
                    <c:v>25 L</c:v>
                  </c:pt>
                </c15:dlblRangeCache>
              </c15:datalabelsRange>
            </c:ext>
            <c:ext xmlns:c16="http://schemas.microsoft.com/office/drawing/2014/chart" uri="{C3380CC4-5D6E-409C-BE32-E72D297353CC}">
              <c16:uniqueId val="{00000006-5F61-4F24-BB86-B5EFA728895F}"/>
            </c:ext>
          </c:extLst>
        </c:ser>
        <c:ser>
          <c:idx val="2"/>
          <c:order val="3"/>
          <c:tx>
            <c:strRef>
              <c:f>'1-PA18-F-GLLN'!$X$17</c:f>
              <c:strCache>
                <c:ptCount val="1"/>
                <c:pt idx="0">
                  <c:v>Transparent</c:v>
                </c:pt>
              </c:strCache>
            </c:strRef>
          </c:tx>
          <c:spPr>
            <a:solidFill>
              <a:srgbClr val="FFFFFF">
                <a:alpha val="20000"/>
              </a:srgbClr>
            </a:solidFill>
            <a:ln>
              <a:noFill/>
            </a:ln>
            <a:effectLst/>
            <a:sp3d/>
          </c:spPr>
          <c:invertIfNegative val="0"/>
          <c:val>
            <c:numRef>
              <c:f>'1-PA18-F-GLLN'!$X$18</c:f>
              <c:numCache>
                <c:formatCode>0%</c:formatCode>
                <c:ptCount val="1"/>
                <c:pt idx="0">
                  <c:v>0.61538461538461542</c:v>
                </c:pt>
              </c:numCache>
            </c:numRef>
          </c:val>
          <c:extLst>
            <c:ext xmlns:c16="http://schemas.microsoft.com/office/drawing/2014/chart" uri="{C3380CC4-5D6E-409C-BE32-E72D297353CC}">
              <c16:uniqueId val="{00000007-5F61-4F24-BB86-B5EFA728895F}"/>
            </c:ext>
          </c:extLst>
        </c:ser>
        <c:ser>
          <c:idx val="3"/>
          <c:order val="4"/>
          <c:tx>
            <c:strRef>
              <c:f>'1-PA18-F-GLLN'!$AB$17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8.2356832050425766E-2"/>
                  <c:y val="-6.1223658460687787E-3"/>
                </c:manualLayout>
              </c:layout>
              <c:tx>
                <c:rich>
                  <a:bodyPr/>
                  <a:lstStyle/>
                  <a:p>
                    <a:fld id="{680C6339-4A23-4042-869C-7700C94E82A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449779264956272"/>
                      <c:h val="9.7743570732488044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'1-PA18-F-GLLN'!$AB$18</c:f>
              <c:numCache>
                <c:formatCode>0%</c:formatCode>
                <c:ptCount val="1"/>
                <c:pt idx="0">
                  <c:v>0.2</c:v>
                </c:pt>
              </c:numCache>
            </c:numRef>
          </c:val>
          <c:extLst>
            <c:ext xmlns:c15="http://schemas.microsoft.com/office/drawing/2012/chart" uri="{02D57815-91ED-43cb-92C2-25804820EDAC}">
              <c15:datalabelsRange>
                <c15:f>'1-PA18-F-GLLN'!$U$18</c15:f>
                <c15:dlblRangeCache>
                  <c:ptCount val="1"/>
                  <c:pt idx="0">
                    <c:v>Maxi 65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alpha val="98000"/>
                </a:schemeClr>
              </a:solidFill>
              <a:ln w="12700">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71F-4A12-B0BB-94B5094EDB56}"/>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71F-4A12-B0BB-94B5094EDB56}"/>
                </c:ext>
              </c:extLst>
            </c:dLbl>
            <c:dLbl>
              <c:idx val="2"/>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71F-4A12-B0BB-94B5094EDB56}"/>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71F-4A12-B0BB-94B5094EDB56}"/>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xVal>
            <c:numRef>
              <c:f>'2-Cessna 152-F-GHLU'!$J$12:$J$16</c:f>
              <c:numCache>
                <c:formatCode>0.000</c:formatCode>
                <c:ptCount val="5"/>
                <c:pt idx="0">
                  <c:v>424.32</c:v>
                </c:pt>
                <c:pt idx="1">
                  <c:v>477.36</c:v>
                </c:pt>
                <c:pt idx="2">
                  <c:v>629.14</c:v>
                </c:pt>
                <c:pt idx="3">
                  <c:v>697.36</c:v>
                </c:pt>
                <c:pt idx="4">
                  <c:v>500.48</c:v>
                </c:pt>
              </c:numCache>
            </c:numRef>
          </c:xVal>
          <c:yVal>
            <c:numRef>
              <c:f>'2-Cessna 152-F-GHLU'!$K$12:$K$16</c:f>
              <c:numCache>
                <c:formatCode>#\ ##0" kg"</c:formatCode>
                <c:ptCount val="5"/>
                <c:pt idx="0">
                  <c:v>544</c:v>
                </c:pt>
                <c:pt idx="1">
                  <c:v>612</c:v>
                </c:pt>
                <c:pt idx="2">
                  <c:v>758</c:v>
                </c:pt>
                <c:pt idx="3">
                  <c:v>758</c:v>
                </c:pt>
                <c:pt idx="4">
                  <c:v>544</c:v>
                </c:pt>
              </c:numCache>
            </c:numRef>
          </c:yVal>
          <c:smooth val="0"/>
          <c:extLst>
            <c:ext xmlns:c16="http://schemas.microsoft.com/office/drawing/2014/chart" uri="{C3380CC4-5D6E-409C-BE32-E72D297353CC}">
              <c16:uniqueId val="{00000003-6D10-4FAD-A75B-2B0320BCF336}"/>
            </c:ext>
          </c:extLst>
        </c:ser>
        <c:ser>
          <c:idx val="1"/>
          <c:order val="1"/>
          <c:tx>
            <c:v>Evolution centrage</c:v>
          </c:tx>
          <c:spPr>
            <a:ln w="25400">
              <a:solidFill>
                <a:srgbClr val="FF0000"/>
              </a:solidFill>
            </a:ln>
          </c:spPr>
          <c:marker>
            <c:symbol val="diamond"/>
            <c:size val="10"/>
            <c:spPr>
              <a:solidFill>
                <a:srgbClr val="7030A0"/>
              </a:solidFill>
              <a:ln>
                <a:solidFill>
                  <a:srgbClr val="7030A0"/>
                </a:solidFill>
                <a:prstDash val="solid"/>
              </a:ln>
            </c:spPr>
          </c:marker>
          <c:dPt>
            <c:idx val="0"/>
            <c:marker>
              <c:spPr>
                <a:solidFill>
                  <a:srgbClr val="C00000"/>
                </a:solidFill>
                <a:ln>
                  <a:solidFill>
                    <a:srgbClr val="C00000"/>
                  </a:solidFill>
                  <a:prstDash val="solid"/>
                </a:ln>
              </c:spPr>
            </c:marker>
            <c:bubble3D val="0"/>
            <c:extLst>
              <c:ext xmlns:c16="http://schemas.microsoft.com/office/drawing/2014/chart" uri="{C3380CC4-5D6E-409C-BE32-E72D297353CC}">
                <c16:uniqueId val="{00000000-6D10-4FAD-A75B-2B0320BCF336}"/>
              </c:ext>
            </c:extLst>
          </c:dPt>
          <c:dPt>
            <c:idx val="1"/>
            <c:marker>
              <c:spPr>
                <a:solidFill>
                  <a:schemeClr val="accent2">
                    <a:lumMod val="50000"/>
                  </a:schemeClr>
                </a:solidFill>
                <a:ln>
                  <a:solidFill>
                    <a:schemeClr val="accent2">
                      <a:lumMod val="50000"/>
                    </a:schemeClr>
                  </a:solidFill>
                  <a:prstDash val="solid"/>
                </a:ln>
              </c:spPr>
            </c:marker>
            <c:bubble3D val="0"/>
            <c:extLst>
              <c:ext xmlns:c16="http://schemas.microsoft.com/office/drawing/2014/chart" uri="{C3380CC4-5D6E-409C-BE32-E72D297353CC}">
                <c16:uniqueId val="{00000001-6D10-4FAD-A75B-2B0320BCF336}"/>
              </c:ext>
            </c:extLst>
          </c:dPt>
          <c:dLbls>
            <c:dLbl>
              <c:idx val="0"/>
              <c:numFmt formatCode="##0&quot; kg&quot;" sourceLinked="0"/>
              <c:spPr>
                <a:noFill/>
                <a:ln>
                  <a:noFill/>
                </a:ln>
                <a:effectLst/>
              </c:spPr>
              <c:txPr>
                <a:bodyPr wrap="square" lIns="38100" tIns="19050" rIns="38100" bIns="19050" anchor="ctr">
                  <a:spAutoFit/>
                </a:bodyPr>
                <a:lstStyle/>
                <a:p>
                  <a:pPr>
                    <a:defRPr sz="120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6D10-4FAD-A75B-2B0320BCF336}"/>
                </c:ext>
              </c:extLst>
            </c:dLbl>
            <c:dLbl>
              <c:idx val="1"/>
              <c:numFmt formatCode="##0&quot; kg&quot;" sourceLinked="0"/>
              <c:spPr>
                <a:noFill/>
                <a:ln>
                  <a:noFill/>
                </a:ln>
                <a:effectLst/>
              </c:spPr>
              <c:txPr>
                <a:bodyPr wrap="square" lIns="38100" tIns="19050" rIns="38100" bIns="19050" anchor="ctr">
                  <a:spAutoFit/>
                </a:bodyPr>
                <a:lstStyle/>
                <a:p>
                  <a:pPr>
                    <a:defRPr sz="12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6D10-4FAD-A75B-2B0320BCF336}"/>
                </c:ext>
              </c:extLst>
            </c:dLbl>
            <c:numFmt formatCode="##0&quot; kg&quot;" sourceLinked="0"/>
            <c:spPr>
              <a:noFill/>
              <a:ln>
                <a:noFill/>
              </a:ln>
              <a:effectLst/>
            </c:spPr>
            <c:txPr>
              <a:bodyPr wrap="square" lIns="38100" tIns="19050" rIns="38100" bIns="19050" anchor="ctr">
                <a:spAutoFit/>
              </a:bodyPr>
              <a:lstStyle/>
              <a:p>
                <a:pPr>
                  <a:defRPr sz="12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'2-Cessna 152-F-GHLU'!$I$17:$I$18</c:f>
              <c:numCache>
                <c:formatCode>0.000</c:formatCode>
                <c:ptCount val="2"/>
                <c:pt idx="0">
                  <c:v>623.77264000000002</c:v>
                </c:pt>
                <c:pt idx="1">
                  <c:v>586.22127999999998</c:v>
                </c:pt>
              </c:numCache>
            </c:numRef>
          </c:xVal>
          <c:yVal>
            <c:numRef>
              <c:f>'2-Cessna 152-F-GHLU'!$K$17:$K$18</c:f>
              <c:numCache>
                <c:formatCode>#\ #00" kg"</c:formatCode>
                <c:ptCount val="2"/>
                <c:pt idx="0">
                  <c:v>737.04</c:v>
                </c:pt>
                <c:pt idx="1">
                  <c:v>700.08</c:v>
                </c:pt>
              </c:numCache>
            </c:numRef>
          </c:yVal>
          <c:smooth val="0"/>
          <c:extLst>
            <c:ext xmlns:c16="http://schemas.microsoft.com/office/drawing/2014/chart" uri="{C3380CC4-5D6E-409C-BE32-E72D297353CC}">
              <c16:uniqueId val="{00000002-6D10-4FAD-A75B-2B0320BCF336}"/>
            </c:ext>
          </c:extLst>
        </c:ser>
        <c:dLbls>
          <c:showLegendKey val="0"/>
          <c:showVal val="0"/>
          <c:showCatName val="0"/>
          <c:showSerName val="0"/>
          <c:showPercent val="0"/>
          <c:showBubbleSize val="0"/>
        </c:dLbls>
        <c:axId val="563522336"/>
        <c:axId val="1"/>
      </c:scatterChart>
      <c:valAx>
        <c:axId val="563522336"/>
        <c:scaling>
          <c:orientation val="minMax"/>
          <c:max val="750"/>
          <c:min val="350"/>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Moment (m.kg)</a:t>
                </a:r>
              </a:p>
            </c:rich>
          </c:tx>
          <c:layout>
            <c:manualLayout>
              <c:xMode val="edge"/>
              <c:yMode val="edge"/>
              <c:x val="0.43981641287376394"/>
              <c:y val="0.94968644285168102"/>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650"/>
        <c:crossBetween val="midCat"/>
        <c:majorUnit val="50"/>
      </c:valAx>
      <c:valAx>
        <c:axId val="1"/>
        <c:scaling>
          <c:orientation val="minMax"/>
          <c:max val="800"/>
          <c:min val="54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quot; kg&quot;" sourceLinked="0"/>
        <c:majorTickMark val="out"/>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solidFill>
              <a:ln w="12700">
                <a:solidFill>
                  <a:schemeClr val="tx1"/>
                </a:solidFill>
                <a:prstDash val="solid"/>
              </a:ln>
            </c:spPr>
          </c:marker>
          <c:dLbls>
            <c:dLbl>
              <c:idx val="0"/>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7B-4686-B928-843701060F4B}"/>
                </c:ext>
              </c:extLst>
            </c:dLbl>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937B-4686-B928-843701060F4B}"/>
                </c:ext>
              </c:extLst>
            </c:dLbl>
            <c:dLbl>
              <c:idx val="2"/>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7B-4686-B928-843701060F4B}"/>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937B-4686-B928-843701060F4B}"/>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'2-Cessna 152-F-GHLU'!$J$20:$J$24</c:f>
              <c:numCache>
                <c:formatCode>#\ ##0.000</c:formatCode>
                <c:ptCount val="5"/>
                <c:pt idx="0">
                  <c:v>0.78</c:v>
                </c:pt>
                <c:pt idx="1">
                  <c:v>0.78</c:v>
                </c:pt>
                <c:pt idx="2">
                  <c:v>0.83</c:v>
                </c:pt>
                <c:pt idx="3">
                  <c:v>0.92</c:v>
                </c:pt>
                <c:pt idx="4">
                  <c:v>0.92</c:v>
                </c:pt>
              </c:numCache>
            </c:numRef>
          </c:xVal>
          <c:yVal>
            <c:numRef>
              <c:f>'2-Cessna 152-F-GHLU'!$K$20:$K$24</c:f>
              <c:numCache>
                <c:formatCode>#\ #00" kg"</c:formatCode>
                <c:ptCount val="5"/>
                <c:pt idx="0">
                  <c:v>544</c:v>
                </c:pt>
                <c:pt idx="1">
                  <c:v>612</c:v>
                </c:pt>
                <c:pt idx="2">
                  <c:v>758</c:v>
                </c:pt>
                <c:pt idx="3">
                  <c:v>758</c:v>
                </c:pt>
                <c:pt idx="4">
                  <c:v>544</c:v>
                </c:pt>
              </c:numCache>
            </c:numRef>
          </c:yVal>
          <c:smooth val="0"/>
          <c:extLst>
            <c:ext xmlns:c16="http://schemas.microsoft.com/office/drawing/2014/chart" uri="{C3380CC4-5D6E-409C-BE32-E72D297353CC}">
              <c16:uniqueId val="{00000003-366E-462C-8BEF-5407C9F4B816}"/>
            </c:ext>
          </c:extLst>
        </c:ser>
        <c:ser>
          <c:idx val="1"/>
          <c:order val="1"/>
          <c:tx>
            <c:strRef>
              <c:f>'2-Cessna 152-F-GHLU'!$J$25:$J$26</c:f>
              <c:strCache>
                <c:ptCount val="2"/>
                <c:pt idx="0">
                  <c:v>0,846</c:v>
                </c:pt>
                <c:pt idx="1">
                  <c:v>0,837</c:v>
                </c:pt>
              </c:strCache>
            </c:strRef>
          </c:tx>
          <c:spPr>
            <a:ln w="25400">
              <a:solidFill>
                <a:srgbClr val="FF0000"/>
              </a:solidFill>
            </a:ln>
          </c:spPr>
          <c:marker>
            <c:symbol val="circle"/>
            <c:size val="10"/>
            <c:spPr>
              <a:solidFill>
                <a:srgbClr val="7030A0"/>
              </a:solidFill>
              <a:ln>
                <a:solidFill>
                  <a:srgbClr val="7030A0"/>
                </a:solidFill>
                <a:prstDash val="solid"/>
              </a:ln>
            </c:spPr>
          </c:marker>
          <c:dPt>
            <c:idx val="0"/>
            <c:marker>
              <c:symbol val="diamond"/>
              <c:size val="10"/>
              <c:spPr>
                <a:solidFill>
                  <a:srgbClr val="C00000"/>
                </a:solidFill>
                <a:ln>
                  <a:solidFill>
                    <a:srgbClr val="C00000"/>
                  </a:solidFill>
                  <a:prstDash val="solid"/>
                </a:ln>
              </c:spPr>
            </c:marker>
            <c:bubble3D val="0"/>
            <c:extLst>
              <c:ext xmlns:c16="http://schemas.microsoft.com/office/drawing/2014/chart" uri="{C3380CC4-5D6E-409C-BE32-E72D297353CC}">
                <c16:uniqueId val="{00000000-366E-462C-8BEF-5407C9F4B816}"/>
              </c:ext>
            </c:extLst>
          </c:dPt>
          <c:dPt>
            <c:idx val="1"/>
            <c:marker>
              <c:symbol val="diamond"/>
              <c:size val="10"/>
              <c:spPr>
                <a:solidFill>
                  <a:schemeClr val="accent2">
                    <a:lumMod val="50000"/>
                  </a:schemeClr>
                </a:solidFill>
                <a:ln>
                  <a:solidFill>
                    <a:schemeClr val="accent2">
                      <a:lumMod val="50000"/>
                    </a:schemeClr>
                  </a:solidFill>
                  <a:prstDash val="solid"/>
                </a:ln>
              </c:spPr>
            </c:marker>
            <c:bubble3D val="0"/>
            <c:extLst>
              <c:ext xmlns:c16="http://schemas.microsoft.com/office/drawing/2014/chart" uri="{C3380CC4-5D6E-409C-BE32-E72D297353CC}">
                <c16:uniqueId val="{00000001-366E-462C-8BEF-5407C9F4B816}"/>
              </c:ext>
            </c:extLst>
          </c:dPt>
          <c:dLbls>
            <c:dLbl>
              <c:idx val="0"/>
              <c:numFmt formatCode="##0&quot; kg&quot;" sourceLinked="0"/>
              <c:spPr>
                <a:noFill/>
                <a:ln>
                  <a:noFill/>
                </a:ln>
                <a:effectLst/>
              </c:spPr>
              <c:txPr>
                <a:bodyPr wrap="square" lIns="38100" tIns="19050" rIns="38100" bIns="19050" anchor="ctr">
                  <a:spAutoFit/>
                </a:bodyPr>
                <a:lstStyle/>
                <a:p>
                  <a:pPr>
                    <a:defRPr sz="120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366E-462C-8BEF-5407C9F4B816}"/>
                </c:ext>
              </c:extLst>
            </c:dLbl>
            <c:dLbl>
              <c:idx val="1"/>
              <c:numFmt formatCode="##0&quot; kg&quot;" sourceLinked="0"/>
              <c:spPr>
                <a:noFill/>
                <a:ln>
                  <a:noFill/>
                </a:ln>
                <a:effectLst/>
              </c:spPr>
              <c:txPr>
                <a:bodyPr wrap="square" lIns="38100" tIns="19050" rIns="38100" bIns="19050" anchor="ctr">
                  <a:spAutoFit/>
                </a:bodyPr>
                <a:lstStyle/>
                <a:p>
                  <a:pPr>
                    <a:defRPr sz="12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366E-462C-8BEF-5407C9F4B816}"/>
                </c:ext>
              </c:extLst>
            </c:dLbl>
            <c:numFmt formatCode="##0&quot; kg&quot;" sourceLinked="0"/>
            <c:spPr>
              <a:noFill/>
              <a:ln>
                <a:noFill/>
              </a:ln>
              <a:effectLst/>
            </c:spPr>
            <c:txPr>
              <a:bodyPr wrap="square" lIns="38100" tIns="19050" rIns="38100" bIns="19050" anchor="ctr">
                <a:spAutoFit/>
              </a:bodyPr>
              <a:lstStyle/>
              <a:p>
                <a:pPr>
                  <a:defRPr sz="12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'2-Cessna 152-F-GHLU'!$J$25:$J$26</c:f>
              <c:numCache>
                <c:formatCode>#\ ##0.000</c:formatCode>
                <c:ptCount val="2"/>
                <c:pt idx="0">
                  <c:v>0.84632128514056237</c:v>
                </c:pt>
                <c:pt idx="1">
                  <c:v>0.83736327276882638</c:v>
                </c:pt>
              </c:numCache>
            </c:numRef>
          </c:xVal>
          <c:yVal>
            <c:numRef>
              <c:f>'2-Cessna 152-F-GHLU'!$K$25:$K$26</c:f>
              <c:numCache>
                <c:formatCode>#\ #00" kg"</c:formatCode>
                <c:ptCount val="2"/>
                <c:pt idx="0">
                  <c:v>737.04</c:v>
                </c:pt>
                <c:pt idx="1">
                  <c:v>700.08</c:v>
                </c:pt>
              </c:numCache>
            </c:numRef>
          </c:yVal>
          <c:smooth val="0"/>
          <c:extLst>
            <c:ext xmlns:c16="http://schemas.microsoft.com/office/drawing/2014/chart" uri="{C3380CC4-5D6E-409C-BE32-E72D297353CC}">
              <c16:uniqueId val="{00000002-366E-462C-8BEF-5407C9F4B816}"/>
            </c:ext>
          </c:extLst>
        </c:ser>
        <c:dLbls>
          <c:showLegendKey val="0"/>
          <c:showVal val="0"/>
          <c:showCatName val="0"/>
          <c:showSerName val="0"/>
          <c:showPercent val="0"/>
          <c:showBubbleSize val="0"/>
        </c:dLbls>
        <c:axId val="563522336"/>
        <c:axId val="1"/>
      </c:scatterChart>
      <c:valAx>
        <c:axId val="563522336"/>
        <c:scaling>
          <c:orientation val="minMax"/>
          <c:max val="0.95000000000000007"/>
          <c:min val="0.75000000000000011"/>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Bras de levier (m)</a:t>
                </a:r>
              </a:p>
            </c:rich>
          </c:tx>
          <c:layout>
            <c:manualLayout>
              <c:xMode val="edge"/>
              <c:yMode val="edge"/>
              <c:x val="0.43981641287376394"/>
              <c:y val="0.94968644285168102"/>
            </c:manualLayout>
          </c:layout>
          <c:overlay val="0"/>
          <c:spPr>
            <a:noFill/>
            <a:ln w="25400">
              <a:noFill/>
            </a:ln>
          </c:spPr>
        </c:title>
        <c:numFmt formatCode="0.00" sourceLinked="0"/>
        <c:majorTickMark val="out"/>
        <c:minorTickMark val="out"/>
        <c:tickLblPos val="low"/>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 val="autoZero"/>
        <c:crossBetween val="midCat"/>
        <c:minorUnit val="1.0000000000000002E-2"/>
      </c:valAx>
      <c:valAx>
        <c:axId val="1"/>
        <c:scaling>
          <c:orientation val="minMax"/>
          <c:max val="800"/>
          <c:min val="540"/>
        </c:scaling>
        <c:delete val="0"/>
        <c:axPos val="l"/>
        <c:majorGridlines>
          <c:spPr>
            <a:ln w="3175">
              <a:solidFill>
                <a:srgbClr val="000000"/>
              </a:solidFill>
              <a:prstDash val="solid"/>
            </a:ln>
          </c:spPr>
        </c:majorGridlines>
        <c:title>
          <c:tx>
            <c:rich>
              <a:bodyPr/>
              <a:lstStyle/>
              <a:p>
                <a:pPr>
                  <a:defRPr sz="1200" b="1" i="0" u="sng" strike="noStrike" baseline="0">
                    <a:solidFill>
                      <a:srgbClr val="000080"/>
                    </a:solidFill>
                    <a:latin typeface="Book Antiqua" panose="02040602050305030304" pitchFamily="18" charset="0"/>
                    <a:ea typeface="Arial"/>
                    <a:cs typeface="Arial"/>
                  </a:defRPr>
                </a:pPr>
                <a:r>
                  <a:rPr lang="fr-FR" sz="1200" u="sng">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quot; kg&quot;" sourceLinked="0"/>
        <c:majorTickMark val="out"/>
        <c:minorTickMark val="out"/>
        <c:tickLblPos val="high"/>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At val="750"/>
        <c:crossBetween val="midCat"/>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'2-Cessna 152-F-GHLU'!$Y$17</c:f>
              <c:strCache>
                <c:ptCount val="1"/>
                <c:pt idx="0">
                  <c:v>Bas</c:v>
                </c:pt>
              </c:strCache>
            </c:strRef>
          </c:tx>
          <c:spPr>
            <a:solidFill>
              <a:schemeClr val="accent5">
                <a:lumMod val="20000"/>
                <a:lumOff val="80000"/>
              </a:schemeClr>
            </a:solidFill>
            <a:ln>
              <a:noFill/>
            </a:ln>
            <a:effectLst/>
            <a:sp3d/>
          </c:spPr>
          <c:invertIfNegative val="0"/>
          <c:dLbls>
            <c:dLbl>
              <c:idx val="0"/>
              <c:layout>
                <c:manualLayout>
                  <c:x val="7.109231527645106E-2"/>
                  <c:y val="-6.1450200043693401E-3"/>
                </c:manualLayout>
              </c:layout>
              <c:tx>
                <c:rich>
                  <a:bodyPr/>
                  <a:lstStyle/>
                  <a:p>
                    <a:fld id="{B9EE759C-3EAC-4D14-AF50-40ACF44AA1D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883016394389901"/>
                      <c:h val="0.14255202865861488"/>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152-F-GHLU'!$Y$18</c:f>
              <c:numCache>
                <c:formatCode>0%</c:formatCode>
                <c:ptCount val="1"/>
                <c:pt idx="0">
                  <c:v>0.2</c:v>
                </c:pt>
              </c:numCache>
            </c:numRef>
          </c:val>
          <c:extLst>
            <c:ext xmlns:c15="http://schemas.microsoft.com/office/drawing/2012/chart" uri="{02D57815-91ED-43cb-92C2-25804820EDAC}">
              <c15:datalabelsRange>
                <c15:f>'2-Cessna 152-F-GHLU'!$R$18</c15:f>
                <c15:dlblRangeCache>
                  <c:ptCount val="1"/>
                  <c:pt idx="0">
                    <c:v>Aile gauche</c:v>
                  </c:pt>
                </c15:dlblRangeCache>
              </c15:datalabelsRange>
            </c:ext>
            <c:ext xmlns:c16="http://schemas.microsoft.com/office/drawing/2014/chart" uri="{C3380CC4-5D6E-409C-BE32-E72D297353CC}">
              <c16:uniqueId val="{00000001-5F61-4F24-BB86-B5EFA728895F}"/>
            </c:ext>
          </c:extLst>
        </c:ser>
        <c:ser>
          <c:idx val="0"/>
          <c:order val="1"/>
          <c:tx>
            <c:strRef>
              <c:f>'2-Cessna 152-F-GHLU'!$X$17</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0C5DF2D7-E59F-4D5C-9EE0-835140346EA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152-F-GHLU'!$X$18</c:f>
              <c:numCache>
                <c:formatCode>0%</c:formatCode>
                <c:ptCount val="1"/>
                <c:pt idx="0">
                  <c:v>0.2</c:v>
                </c:pt>
              </c:numCache>
            </c:numRef>
          </c:val>
          <c:extLst>
            <c:ext xmlns:c15="http://schemas.microsoft.com/office/drawing/2012/chart" uri="{02D57815-91ED-43cb-92C2-25804820EDAC}">
              <c15:datalabelsRange>
                <c15:f>'2-Cessna 152-F-GHLU'!$W$18</c15:f>
                <c15:dlblRangeCache>
                  <c:ptCount val="1"/>
                  <c:pt idx="0">
                    <c:v>51%</c:v>
                  </c:pt>
                </c15:dlblRangeCache>
              </c15:datalabelsRange>
            </c:ext>
            <c:ext xmlns:c16="http://schemas.microsoft.com/office/drawing/2014/chart" uri="{C3380CC4-5D6E-409C-BE32-E72D297353CC}">
              <c16:uniqueId val="{00000004-5F61-4F24-BB86-B5EFA728895F}"/>
            </c:ext>
          </c:extLst>
        </c:ser>
        <c:ser>
          <c:idx val="4"/>
          <c:order val="2"/>
          <c:tx>
            <c:strRef>
              <c:f>'2-Cessna 152-F-GHLU'!$W$17</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172D2803-783B-441F-BE94-5BBD32629DF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152-F-GHLU'!$W$18</c:f>
              <c:numCache>
                <c:formatCode>0%</c:formatCode>
                <c:ptCount val="1"/>
                <c:pt idx="0">
                  <c:v>0.51020408163265307</c:v>
                </c:pt>
              </c:numCache>
            </c:numRef>
          </c:val>
          <c:extLst>
            <c:ext xmlns:c15="http://schemas.microsoft.com/office/drawing/2012/chart" uri="{02D57815-91ED-43cb-92C2-25804820EDAC}">
              <c15:datalabelsRange>
                <c15:f>'2-Cessna 152-F-GHLU'!$T$18</c15:f>
                <c15:dlblRangeCache>
                  <c:ptCount val="1"/>
                  <c:pt idx="0">
                    <c:v>25 L</c:v>
                  </c:pt>
                </c15:dlblRangeCache>
              </c15:datalabelsRange>
            </c:ext>
            <c:ext xmlns:c16="http://schemas.microsoft.com/office/drawing/2014/chart" uri="{C3380CC4-5D6E-409C-BE32-E72D297353CC}">
              <c16:uniqueId val="{00000006-5F61-4F24-BB86-B5EFA728895F}"/>
            </c:ext>
          </c:extLst>
        </c:ser>
        <c:ser>
          <c:idx val="2"/>
          <c:order val="3"/>
          <c:tx>
            <c:strRef>
              <c:f>'2-Cessna 152-F-GHLU'!$V$17</c:f>
              <c:strCache>
                <c:ptCount val="1"/>
                <c:pt idx="0">
                  <c:v>Transparent</c:v>
                </c:pt>
              </c:strCache>
            </c:strRef>
          </c:tx>
          <c:spPr>
            <a:solidFill>
              <a:srgbClr val="FFFFFF">
                <a:alpha val="20000"/>
              </a:srgbClr>
            </a:solidFill>
            <a:ln>
              <a:noFill/>
            </a:ln>
            <a:effectLst/>
            <a:sp3d/>
          </c:spPr>
          <c:invertIfNegative val="0"/>
          <c:val>
            <c:numRef>
              <c:f>'2-Cessna 152-F-GHLU'!$V$18</c:f>
              <c:numCache>
                <c:formatCode>0%</c:formatCode>
                <c:ptCount val="1"/>
                <c:pt idx="0">
                  <c:v>0.48979591836734693</c:v>
                </c:pt>
              </c:numCache>
            </c:numRef>
          </c:val>
          <c:extLst>
            <c:ext xmlns:c16="http://schemas.microsoft.com/office/drawing/2014/chart" uri="{C3380CC4-5D6E-409C-BE32-E72D297353CC}">
              <c16:uniqueId val="{00000007-5F61-4F24-BB86-B5EFA728895F}"/>
            </c:ext>
          </c:extLst>
        </c:ser>
        <c:ser>
          <c:idx val="3"/>
          <c:order val="4"/>
          <c:tx>
            <c:strRef>
              <c:f>'2-Cessna 152-F-GHLU'!$Z$17</c:f>
              <c:strCache>
                <c:ptCount val="1"/>
                <c:pt idx="0">
                  <c:v>Haut</c:v>
                </c:pt>
              </c:strCache>
            </c:strRef>
          </c:tx>
          <c:spPr>
            <a:solidFill>
              <a:schemeClr val="accent5">
                <a:lumMod val="20000"/>
                <a:lumOff val="80000"/>
              </a:schemeClr>
            </a:solidFill>
            <a:ln>
              <a:noFill/>
            </a:ln>
            <a:effectLst/>
            <a:sp3d/>
          </c:spPr>
          <c:invertIfNegative val="0"/>
          <c:dLbls>
            <c:dLbl>
              <c:idx val="0"/>
              <c:layout>
                <c:manualLayout>
                  <c:x val="7.3385796344081752E-2"/>
                  <c:y val="-6.1451409717113029E-3"/>
                </c:manualLayout>
              </c:layout>
              <c:tx>
                <c:rich>
                  <a:bodyPr/>
                  <a:lstStyle/>
                  <a:p>
                    <a:fld id="{D5A006FC-BFB2-4A3C-903E-3B667B38247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256255563962317"/>
                      <c:h val="9.8107175613370956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152-F-GHLU'!$Z$18</c:f>
              <c:numCache>
                <c:formatCode>0%</c:formatCode>
                <c:ptCount val="1"/>
                <c:pt idx="0">
                  <c:v>0.2</c:v>
                </c:pt>
              </c:numCache>
            </c:numRef>
          </c:val>
          <c:extLst>
            <c:ext xmlns:c15="http://schemas.microsoft.com/office/drawing/2012/chart" uri="{02D57815-91ED-43cb-92C2-25804820EDAC}">
              <c15:datalabelsRange>
                <c15:f>'2-Cessna 152-F-GHLU'!$S$18</c15:f>
                <c15:dlblRangeCache>
                  <c:ptCount val="1"/>
                  <c:pt idx="0">
                    <c:v>Maxi 49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1"/>
          <c:order val="0"/>
          <c:tx>
            <c:strRef>
              <c:f>'2-Cessna 152-F-GHLU'!$Y$15</c:f>
              <c:strCache>
                <c:ptCount val="1"/>
                <c:pt idx="0">
                  <c:v>Bas</c:v>
                </c:pt>
              </c:strCache>
            </c:strRef>
          </c:tx>
          <c:spPr>
            <a:solidFill>
              <a:schemeClr val="accent5">
                <a:lumMod val="20000"/>
                <a:lumOff val="80000"/>
              </a:schemeClr>
            </a:solidFill>
            <a:ln>
              <a:noFill/>
            </a:ln>
            <a:effectLst/>
            <a:sp3d/>
          </c:spPr>
          <c:invertIfNegative val="0"/>
          <c:dLbls>
            <c:dLbl>
              <c:idx val="0"/>
              <c:layout>
                <c:manualLayout>
                  <c:x val="6.8948818260687342E-2"/>
                  <c:y val="-3.071854795600717E-3"/>
                </c:manualLayout>
              </c:layout>
              <c:tx>
                <c:rich>
                  <a:bodyPr/>
                  <a:lstStyle/>
                  <a:p>
                    <a:fld id="{D27D7CD8-F6E4-40EB-9BDA-6661E6B94F3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4780100321435414"/>
                      <c:h val="9.8084323623530895E-2"/>
                    </c:manualLayout>
                  </c15:layout>
                  <c15:dlblFieldTable/>
                  <c15:showDataLabelsRange val="1"/>
                </c:ext>
                <c:ext xmlns:c16="http://schemas.microsoft.com/office/drawing/2014/chart" uri="{C3380CC4-5D6E-409C-BE32-E72D297353CC}">
                  <c16:uniqueId val="{00000000-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152-F-GHLU'!$Y$16</c:f>
              <c:numCache>
                <c:formatCode>0%</c:formatCode>
                <c:ptCount val="1"/>
                <c:pt idx="0">
                  <c:v>0.2</c:v>
                </c:pt>
              </c:numCache>
            </c:numRef>
          </c:val>
          <c:extLst>
            <c:ext xmlns:c15="http://schemas.microsoft.com/office/drawing/2012/chart" uri="{02D57815-91ED-43cb-92C2-25804820EDAC}">
              <c15:datalabelsRange>
                <c15:f>'2-Cessna 152-F-GHLU'!$R$16</c15:f>
                <c15:dlblRangeCache>
                  <c:ptCount val="1"/>
                  <c:pt idx="0">
                    <c:v>Aile droite</c:v>
                  </c:pt>
                </c15:dlblRangeCache>
              </c15:datalabelsRange>
            </c:ext>
            <c:ext xmlns:c16="http://schemas.microsoft.com/office/drawing/2014/chart" uri="{C3380CC4-5D6E-409C-BE32-E72D297353CC}">
              <c16:uniqueId val="{00000001-5F61-4F24-BB86-B5EFA728895F}"/>
            </c:ext>
          </c:extLst>
        </c:ser>
        <c:ser>
          <c:idx val="0"/>
          <c:order val="1"/>
          <c:tx>
            <c:strRef>
              <c:f>'2-Cessna 152-F-GHLU'!$X$15</c:f>
              <c:strCache>
                <c:ptCount val="1"/>
                <c:pt idx="0">
                  <c:v>Etiquette</c:v>
                </c:pt>
              </c:strCache>
            </c:strRef>
          </c:tx>
          <c:spPr>
            <a:solidFill>
              <a:srgbClr val="002060"/>
            </a:solidFill>
            <a:ln>
              <a:noFill/>
            </a:ln>
            <a:effectLst/>
            <a:sp3d/>
          </c:spPr>
          <c:invertIfNegative val="0"/>
          <c:dPt>
            <c:idx val="0"/>
            <c:invertIfNegative val="0"/>
            <c:bubble3D val="0"/>
            <c:spPr>
              <a:solidFill>
                <a:schemeClr val="accent5">
                  <a:lumMod val="50000"/>
                </a:schemeClr>
              </a:solidFill>
              <a:ln>
                <a:noFill/>
              </a:ln>
              <a:effectLst/>
              <a:sp3d/>
            </c:spPr>
            <c:extLst>
              <c:ext xmlns:c16="http://schemas.microsoft.com/office/drawing/2014/chart" uri="{C3380CC4-5D6E-409C-BE32-E72D297353CC}">
                <c16:uniqueId val="{00000003-5F61-4F24-BB86-B5EFA728895F}"/>
              </c:ext>
            </c:extLst>
          </c:dPt>
          <c:dLbls>
            <c:dLbl>
              <c:idx val="0"/>
              <c:tx>
                <c:rich>
                  <a:bodyPr/>
                  <a:lstStyle/>
                  <a:p>
                    <a:fld id="{320FE308-E836-4A67-83A5-DB4976B9067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152-F-GHLU'!$X$16</c:f>
              <c:numCache>
                <c:formatCode>0%</c:formatCode>
                <c:ptCount val="1"/>
                <c:pt idx="0">
                  <c:v>0.2</c:v>
                </c:pt>
              </c:numCache>
            </c:numRef>
          </c:val>
          <c:extLst>
            <c:ext xmlns:c15="http://schemas.microsoft.com/office/drawing/2012/chart" uri="{02D57815-91ED-43cb-92C2-25804820EDAC}">
              <c15:datalabelsRange>
                <c15:f>'2-Cessna 152-F-GHLU'!$W$16</c15:f>
                <c15:dlblRangeCache>
                  <c:ptCount val="1"/>
                  <c:pt idx="0">
                    <c:v>65%</c:v>
                  </c:pt>
                </c15:dlblRangeCache>
              </c15:datalabelsRange>
            </c:ext>
            <c:ext xmlns:c16="http://schemas.microsoft.com/office/drawing/2014/chart" uri="{C3380CC4-5D6E-409C-BE32-E72D297353CC}">
              <c16:uniqueId val="{00000004-5F61-4F24-BB86-B5EFA728895F}"/>
            </c:ext>
          </c:extLst>
        </c:ser>
        <c:ser>
          <c:idx val="4"/>
          <c:order val="2"/>
          <c:tx>
            <c:strRef>
              <c:f>'2-Cessna 152-F-GHLU'!$W$15</c:f>
              <c:strCache>
                <c:ptCount val="1"/>
                <c:pt idx="0">
                  <c:v>Indic.</c:v>
                </c:pt>
              </c:strCache>
            </c:strRef>
          </c:tx>
          <c:spPr>
            <a:solidFill>
              <a:schemeClr val="accent6">
                <a:lumMod val="60000"/>
                <a:lumOff val="40000"/>
              </a:schemeClr>
            </a:solidFill>
            <a:ln>
              <a:noFill/>
            </a:ln>
            <a:effectLst/>
            <a:sp3d/>
          </c:spPr>
          <c:invertIfNegative val="0"/>
          <c:dLbls>
            <c:dLbl>
              <c:idx val="0"/>
              <c:tx>
                <c:rich>
                  <a:bodyPr/>
                  <a:lstStyle/>
                  <a:p>
                    <a:fld id="{0F819418-32CF-43B6-87F8-05E7E9709B8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F61-4F24-BB86-B5EFA728895F}"/>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6">
                        <a:lumMod val="50000"/>
                      </a:schemeClr>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152-F-GHLU'!$W$16</c:f>
              <c:numCache>
                <c:formatCode>0%</c:formatCode>
                <c:ptCount val="1"/>
                <c:pt idx="0">
                  <c:v>0.65306122448979587</c:v>
                </c:pt>
              </c:numCache>
            </c:numRef>
          </c:val>
          <c:extLst>
            <c:ext xmlns:c15="http://schemas.microsoft.com/office/drawing/2012/chart" uri="{02D57815-91ED-43cb-92C2-25804820EDAC}">
              <c15:datalabelsRange>
                <c15:f>'2-Cessna 152-F-GHLU'!$T$16</c15:f>
                <c15:dlblRangeCache>
                  <c:ptCount val="1"/>
                  <c:pt idx="0">
                    <c:v>32 L</c:v>
                  </c:pt>
                </c15:dlblRangeCache>
              </c15:datalabelsRange>
            </c:ext>
            <c:ext xmlns:c16="http://schemas.microsoft.com/office/drawing/2014/chart" uri="{C3380CC4-5D6E-409C-BE32-E72D297353CC}">
              <c16:uniqueId val="{00000006-5F61-4F24-BB86-B5EFA728895F}"/>
            </c:ext>
          </c:extLst>
        </c:ser>
        <c:ser>
          <c:idx val="2"/>
          <c:order val="3"/>
          <c:tx>
            <c:strRef>
              <c:f>'2-Cessna 152-F-GHLU'!$V$15</c:f>
              <c:strCache>
                <c:ptCount val="1"/>
                <c:pt idx="0">
                  <c:v>Transparent</c:v>
                </c:pt>
              </c:strCache>
            </c:strRef>
          </c:tx>
          <c:spPr>
            <a:solidFill>
              <a:srgbClr val="FFFFFF">
                <a:alpha val="20000"/>
              </a:srgbClr>
            </a:solidFill>
            <a:ln>
              <a:noFill/>
            </a:ln>
            <a:effectLst/>
            <a:sp3d/>
          </c:spPr>
          <c:invertIfNegative val="0"/>
          <c:val>
            <c:numRef>
              <c:f>'2-Cessna 152-F-GHLU'!$V$16</c:f>
              <c:numCache>
                <c:formatCode>0%</c:formatCode>
                <c:ptCount val="1"/>
                <c:pt idx="0">
                  <c:v>0.34693877551020413</c:v>
                </c:pt>
              </c:numCache>
            </c:numRef>
          </c:val>
          <c:extLst>
            <c:ext xmlns:c16="http://schemas.microsoft.com/office/drawing/2014/chart" uri="{C3380CC4-5D6E-409C-BE32-E72D297353CC}">
              <c16:uniqueId val="{00000007-5F61-4F24-BB86-B5EFA728895F}"/>
            </c:ext>
          </c:extLst>
        </c:ser>
        <c:ser>
          <c:idx val="3"/>
          <c:order val="4"/>
          <c:tx>
            <c:strRef>
              <c:f>'2-Cessna 152-F-GHLU'!$Z$15</c:f>
              <c:strCache>
                <c:ptCount val="1"/>
                <c:pt idx="0">
                  <c:v>Haut</c:v>
                </c:pt>
              </c:strCache>
            </c:strRef>
          </c:tx>
          <c:spPr>
            <a:solidFill>
              <a:schemeClr val="accent5">
                <a:lumMod val="20000"/>
                <a:lumOff val="80000"/>
              </a:schemeClr>
            </a:solidFill>
            <a:ln>
              <a:noFill/>
            </a:ln>
            <a:effectLst/>
            <a:sp3d/>
          </c:spPr>
          <c:invertIfNegative val="0"/>
          <c:dLbls>
            <c:dLbl>
              <c:idx val="0"/>
              <c:layout>
                <c:manualLayout>
                  <c:x val="6.4352230376641478E-2"/>
                  <c:y val="-6.1437095912014617E-3"/>
                </c:manualLayout>
              </c:layout>
              <c:tx>
                <c:rich>
                  <a:bodyPr/>
                  <a:lstStyle/>
                  <a:p>
                    <a:fld id="{FB8EE6B6-397E-4046-B74A-B72EDD676E2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36310727893217282"/>
                      <c:h val="9.8084323623530895E-2"/>
                    </c:manualLayout>
                  </c15:layout>
                  <c15:dlblFieldTable/>
                  <c15:showDataLabelsRange val="1"/>
                </c:ext>
                <c:ext xmlns:c16="http://schemas.microsoft.com/office/drawing/2014/chart" uri="{C3380CC4-5D6E-409C-BE32-E72D297353CC}">
                  <c16:uniqueId val="{00000008-5F61-4F24-BB86-B5EFA728895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2060"/>
                    </a:solidFill>
                    <a:latin typeface="Book Antiqua" panose="02040602050305030304" pitchFamily="18" charset="0"/>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'2-Cessna 152-F-GHLU'!$Z$16</c:f>
              <c:numCache>
                <c:formatCode>0%</c:formatCode>
                <c:ptCount val="1"/>
                <c:pt idx="0">
                  <c:v>0.2</c:v>
                </c:pt>
              </c:numCache>
            </c:numRef>
          </c:val>
          <c:extLst>
            <c:ext xmlns:c15="http://schemas.microsoft.com/office/drawing/2012/chart" uri="{02D57815-91ED-43cb-92C2-25804820EDAC}">
              <c15:datalabelsRange>
                <c15:f>'2-Cessna 152-F-GHLU'!$S$16</c15:f>
                <c15:dlblRangeCache>
                  <c:ptCount val="1"/>
                  <c:pt idx="0">
                    <c:v>Maxi 49 L</c:v>
                  </c:pt>
                </c15:dlblRangeCache>
              </c15:datalabelsRange>
            </c:ext>
            <c:ext xmlns:c16="http://schemas.microsoft.com/office/drawing/2014/chart" uri="{C3380CC4-5D6E-409C-BE32-E72D297353CC}">
              <c16:uniqueId val="{00000009-5F61-4F24-BB86-B5EFA728895F}"/>
            </c:ext>
          </c:extLst>
        </c:ser>
        <c:dLbls>
          <c:showLegendKey val="0"/>
          <c:showVal val="0"/>
          <c:showCatName val="0"/>
          <c:showSerName val="0"/>
          <c:showPercent val="0"/>
          <c:showBubbleSize val="0"/>
        </c:dLbls>
        <c:gapWidth val="25"/>
        <c:gapDepth val="72"/>
        <c:shape val="cylinder"/>
        <c:axId val="1165514040"/>
        <c:axId val="1165515024"/>
        <c:axId val="0"/>
      </c:bar3DChart>
      <c:catAx>
        <c:axId val="1165514040"/>
        <c:scaling>
          <c:orientation val="minMax"/>
        </c:scaling>
        <c:delete val="1"/>
        <c:axPos val="b"/>
        <c:numFmt formatCode="General" sourceLinked="1"/>
        <c:majorTickMark val="none"/>
        <c:minorTickMark val="none"/>
        <c:tickLblPos val="nextTo"/>
        <c:crossAx val="1165515024"/>
        <c:crosses val="autoZero"/>
        <c:auto val="1"/>
        <c:lblAlgn val="ctr"/>
        <c:lblOffset val="100"/>
        <c:noMultiLvlLbl val="0"/>
      </c:catAx>
      <c:valAx>
        <c:axId val="1165515024"/>
        <c:scaling>
          <c:orientation val="minMax"/>
        </c:scaling>
        <c:delete val="1"/>
        <c:axPos val="l"/>
        <c:numFmt formatCode="0%" sourceLinked="1"/>
        <c:majorTickMark val="none"/>
        <c:minorTickMark val="none"/>
        <c:tickLblPos val="nextTo"/>
        <c:crossAx val="1165514040"/>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alpha val="98000"/>
                </a:schemeClr>
              </a:solidFill>
              <a:ln w="12700">
                <a:solidFill>
                  <a:schemeClr val="tx1"/>
                </a:solidFill>
                <a:prstDash val="solid"/>
              </a:ln>
            </c:spPr>
          </c:marker>
          <c:dLbls>
            <c:dLbl>
              <c:idx val="1"/>
              <c:dLblPos val="l"/>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A66-42BF-A9FD-2EA1CC70260B}"/>
                </c:ext>
              </c:extLst>
            </c:dLbl>
            <c:dLbl>
              <c:idx val="2"/>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A66-42BF-A9FD-2EA1CC70260B}"/>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A66-42BF-A9FD-2EA1CC70260B}"/>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'3-Cessna 172-F-HAFL'!$J$12:$J$16</c:f>
              <c:numCache>
                <c:formatCode>0.000</c:formatCode>
                <c:ptCount val="5"/>
                <c:pt idx="0">
                  <c:v>683.64099999999996</c:v>
                </c:pt>
                <c:pt idx="1">
                  <c:v>786.76499999999999</c:v>
                </c:pt>
                <c:pt idx="2">
                  <c:v>1204.4369999999999</c:v>
                </c:pt>
                <c:pt idx="3">
                  <c:v>1389.557</c:v>
                </c:pt>
                <c:pt idx="4">
                  <c:v>923.56900000000007</c:v>
                </c:pt>
              </c:numCache>
            </c:numRef>
          </c:xVal>
          <c:yVal>
            <c:numRef>
              <c:f>'3-Cessna 172-F-HAFL'!$K$12:$K$16</c:f>
              <c:numCache>
                <c:formatCode>#\ ##0" kg"</c:formatCode>
                <c:ptCount val="5"/>
                <c:pt idx="0">
                  <c:v>769</c:v>
                </c:pt>
                <c:pt idx="1">
                  <c:v>885</c:v>
                </c:pt>
                <c:pt idx="2">
                  <c:v>1157</c:v>
                </c:pt>
                <c:pt idx="3">
                  <c:v>1157</c:v>
                </c:pt>
                <c:pt idx="4">
                  <c:v>769</c:v>
                </c:pt>
              </c:numCache>
            </c:numRef>
          </c:yVal>
          <c:smooth val="0"/>
          <c:extLst>
            <c:ext xmlns:c16="http://schemas.microsoft.com/office/drawing/2014/chart" uri="{C3380CC4-5D6E-409C-BE32-E72D297353CC}">
              <c16:uniqueId val="{00000003-A300-4350-940B-52B6358ADABF}"/>
            </c:ext>
          </c:extLst>
        </c:ser>
        <c:ser>
          <c:idx val="1"/>
          <c:order val="1"/>
          <c:tx>
            <c:v>Evolution centrage</c:v>
          </c:tx>
          <c:spPr>
            <a:ln w="25400">
              <a:solidFill>
                <a:srgbClr val="FF0000"/>
              </a:solidFill>
            </a:ln>
          </c:spPr>
          <c:marker>
            <c:symbol val="circle"/>
            <c:size val="10"/>
            <c:spPr>
              <a:solidFill>
                <a:srgbClr val="7030A0"/>
              </a:solidFill>
              <a:ln>
                <a:solidFill>
                  <a:srgbClr val="7030A0"/>
                </a:solidFill>
                <a:prstDash val="solid"/>
              </a:ln>
            </c:spPr>
          </c:marker>
          <c:dPt>
            <c:idx val="0"/>
            <c:marker>
              <c:symbol val="diamond"/>
              <c:size val="10"/>
              <c:spPr>
                <a:solidFill>
                  <a:srgbClr val="C00000"/>
                </a:solidFill>
                <a:ln>
                  <a:solidFill>
                    <a:srgbClr val="C00000"/>
                  </a:solidFill>
                  <a:prstDash val="solid"/>
                </a:ln>
              </c:spPr>
            </c:marker>
            <c:bubble3D val="0"/>
            <c:extLst>
              <c:ext xmlns:c16="http://schemas.microsoft.com/office/drawing/2014/chart" uri="{C3380CC4-5D6E-409C-BE32-E72D297353CC}">
                <c16:uniqueId val="{00000000-A300-4350-940B-52B6358ADABF}"/>
              </c:ext>
            </c:extLst>
          </c:dPt>
          <c:dPt>
            <c:idx val="1"/>
            <c:marker>
              <c:symbol val="diamond"/>
              <c:size val="10"/>
              <c:spPr>
                <a:solidFill>
                  <a:schemeClr val="accent2">
                    <a:lumMod val="50000"/>
                  </a:schemeClr>
                </a:solidFill>
                <a:ln>
                  <a:solidFill>
                    <a:schemeClr val="accent2">
                      <a:lumMod val="50000"/>
                    </a:schemeClr>
                  </a:solidFill>
                  <a:prstDash val="solid"/>
                </a:ln>
              </c:spPr>
            </c:marker>
            <c:bubble3D val="0"/>
            <c:extLst>
              <c:ext xmlns:c16="http://schemas.microsoft.com/office/drawing/2014/chart" uri="{C3380CC4-5D6E-409C-BE32-E72D297353CC}">
                <c16:uniqueId val="{00000001-A300-4350-940B-52B6358ADABF}"/>
              </c:ext>
            </c:extLst>
          </c:dPt>
          <c:dLbls>
            <c:dLbl>
              <c:idx val="0"/>
              <c:spPr>
                <a:noFill/>
                <a:ln>
                  <a:noFill/>
                </a:ln>
                <a:effectLst/>
              </c:spPr>
              <c:txPr>
                <a:bodyPr wrap="square" lIns="38100" tIns="19050" rIns="38100" bIns="19050" anchor="ctr">
                  <a:spAutoFit/>
                </a:bodyPr>
                <a:lstStyle/>
                <a:p>
                  <a:pPr>
                    <a:defRPr sz="120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A300-4350-940B-52B6358ADABF}"/>
                </c:ext>
              </c:extLst>
            </c:dLbl>
            <c:dLbl>
              <c:idx val="1"/>
              <c:spPr>
                <a:noFill/>
                <a:ln>
                  <a:noFill/>
                </a:ln>
                <a:effectLst/>
              </c:spPr>
              <c:txPr>
                <a:bodyPr wrap="square" lIns="38100" tIns="19050" rIns="38100" bIns="19050" anchor="ctr">
                  <a:spAutoFit/>
                </a:bodyPr>
                <a:lstStyle/>
                <a:p>
                  <a:pPr>
                    <a:defRPr sz="120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A300-4350-940B-52B6358ADABF}"/>
                </c:ext>
              </c:extLst>
            </c:dLbl>
            <c:spPr>
              <a:noFill/>
              <a:ln>
                <a:noFill/>
              </a:ln>
              <a:effectLst/>
            </c:spPr>
            <c:txPr>
              <a:bodyPr wrap="square" lIns="38100" tIns="19050" rIns="38100" bIns="19050" anchor="ctr">
                <a:spAutoFit/>
              </a:bodyPr>
              <a:lstStyle/>
              <a:p>
                <a:pPr>
                  <a:defRPr sz="120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'3-Cessna 172-F-HAFL'!$I$17:$I$18</c:f>
              <c:numCache>
                <c:formatCode>0.000</c:formatCode>
                <c:ptCount val="2"/>
                <c:pt idx="0">
                  <c:v>1205.5862000000002</c:v>
                </c:pt>
                <c:pt idx="1">
                  <c:v>1139.53835</c:v>
                </c:pt>
              </c:numCache>
            </c:numRef>
          </c:xVal>
          <c:yVal>
            <c:numRef>
              <c:f>'3-Cessna 172-F-HAFL'!$K$17:$K$18</c:f>
              <c:numCache>
                <c:formatCode>#\ #00" kg"</c:formatCode>
                <c:ptCount val="2"/>
                <c:pt idx="0">
                  <c:v>1130.4000000000001</c:v>
                </c:pt>
                <c:pt idx="1">
                  <c:v>1075.95</c:v>
                </c:pt>
              </c:numCache>
            </c:numRef>
          </c:yVal>
          <c:smooth val="0"/>
          <c:extLst>
            <c:ext xmlns:c16="http://schemas.microsoft.com/office/drawing/2014/chart" uri="{C3380CC4-5D6E-409C-BE32-E72D297353CC}">
              <c16:uniqueId val="{00000002-A300-4350-940B-52B6358ADABF}"/>
            </c:ext>
          </c:extLst>
        </c:ser>
        <c:dLbls>
          <c:showLegendKey val="0"/>
          <c:showVal val="0"/>
          <c:showCatName val="0"/>
          <c:showSerName val="0"/>
          <c:showPercent val="0"/>
          <c:showBubbleSize val="0"/>
        </c:dLbls>
        <c:axId val="563522336"/>
        <c:axId val="1"/>
      </c:scatterChart>
      <c:valAx>
        <c:axId val="563522336"/>
        <c:scaling>
          <c:orientation val="minMax"/>
          <c:max val="1400"/>
          <c:min val="650"/>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Moment (m.kg)</a:t>
                </a:r>
              </a:p>
            </c:rich>
          </c:tx>
          <c:layout>
            <c:manualLayout>
              <c:xMode val="edge"/>
              <c:yMode val="edge"/>
              <c:x val="0.43981641287376394"/>
              <c:y val="0.9496864428516810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650"/>
        <c:crossBetween val="midCat"/>
        <c:majorUnit val="100"/>
        <c:minorUnit val="50"/>
      </c:valAx>
      <c:valAx>
        <c:axId val="1"/>
        <c:scaling>
          <c:orientation val="minMax"/>
          <c:max val="1225"/>
          <c:min val="75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out"/>
        <c:minorTickMark val="out"/>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 val="autoZero"/>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45698195670736E-2"/>
          <c:y val="6.6565858551982784E-2"/>
          <c:w val="0.8735502744992697"/>
          <c:h val="0.8392581873793129"/>
        </c:manualLayout>
      </c:layout>
      <c:scatterChart>
        <c:scatterStyle val="lineMarker"/>
        <c:varyColors val="0"/>
        <c:ser>
          <c:idx val="2"/>
          <c:order val="0"/>
          <c:tx>
            <c:v>Limites de centrage</c:v>
          </c:tx>
          <c:spPr>
            <a:ln w="25400">
              <a:solidFill>
                <a:schemeClr val="tx1"/>
              </a:solidFill>
            </a:ln>
          </c:spPr>
          <c:marker>
            <c:symbol val="circle"/>
            <c:size val="10"/>
            <c:spPr>
              <a:solidFill>
                <a:schemeClr val="tx1"/>
              </a:solidFill>
              <a:ln w="12700">
                <a:solidFill>
                  <a:schemeClr val="tx1"/>
                </a:solidFill>
                <a:prstDash val="solid"/>
              </a:ln>
            </c:spPr>
          </c:marker>
          <c:dLbls>
            <c:dLbl>
              <c:idx val="2"/>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65E-4F48-B917-27D658718B26}"/>
                </c:ext>
              </c:extLst>
            </c:dLbl>
            <c:dLbl>
              <c:idx val="3"/>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65E-4F48-B917-27D658718B26}"/>
                </c:ext>
              </c:extLst>
            </c:dLbl>
            <c:spPr>
              <a:noFill/>
              <a:ln>
                <a:noFill/>
              </a:ln>
              <a:effectLst/>
            </c:spPr>
            <c:txPr>
              <a:bodyPr wrap="square" lIns="38100" tIns="19050" rIns="38100" bIns="19050" anchor="ctr">
                <a:spAutoFit/>
              </a:bodyPr>
              <a:lstStyle/>
              <a:p>
                <a:pPr>
                  <a:defRPr sz="1200">
                    <a:solidFill>
                      <a:sysClr val="windowText" lastClr="000000"/>
                    </a:solidFill>
                    <a:latin typeface="Book Antiqua" panose="02040602050305030304" pitchFamily="18"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'3-Cessna 172-F-HAFL'!$J$20:$J$24</c:f>
              <c:numCache>
                <c:formatCode>0.000</c:formatCode>
                <c:ptCount val="5"/>
                <c:pt idx="0">
                  <c:v>0.88900000000000001</c:v>
                </c:pt>
                <c:pt idx="1">
                  <c:v>0.88900000000000001</c:v>
                </c:pt>
                <c:pt idx="2">
                  <c:v>1.0409999999999999</c:v>
                </c:pt>
                <c:pt idx="3">
                  <c:v>1.2010000000000001</c:v>
                </c:pt>
                <c:pt idx="4">
                  <c:v>1.2010000000000001</c:v>
                </c:pt>
              </c:numCache>
            </c:numRef>
          </c:xVal>
          <c:yVal>
            <c:numRef>
              <c:f>'3-Cessna 172-F-HAFL'!$K$20:$K$24</c:f>
              <c:numCache>
                <c:formatCode>#\ ##0" kg"</c:formatCode>
                <c:ptCount val="5"/>
                <c:pt idx="0">
                  <c:v>769</c:v>
                </c:pt>
                <c:pt idx="1">
                  <c:v>885</c:v>
                </c:pt>
                <c:pt idx="2">
                  <c:v>1157</c:v>
                </c:pt>
                <c:pt idx="3">
                  <c:v>1157</c:v>
                </c:pt>
                <c:pt idx="4">
                  <c:v>769</c:v>
                </c:pt>
              </c:numCache>
            </c:numRef>
          </c:yVal>
          <c:smooth val="0"/>
          <c:extLst>
            <c:ext xmlns:c16="http://schemas.microsoft.com/office/drawing/2014/chart" uri="{C3380CC4-5D6E-409C-BE32-E72D297353CC}">
              <c16:uniqueId val="{00000003-0E19-4C98-B9A7-D743C0A452C6}"/>
            </c:ext>
          </c:extLst>
        </c:ser>
        <c:ser>
          <c:idx val="1"/>
          <c:order val="1"/>
          <c:tx>
            <c:v>Evolution centrage</c:v>
          </c:tx>
          <c:marker>
            <c:symbol val="diamond"/>
            <c:size val="10"/>
            <c:spPr>
              <a:solidFill>
                <a:srgbClr val="C00000"/>
              </a:solidFill>
              <a:ln>
                <a:solidFill>
                  <a:srgbClr val="C00000"/>
                </a:solidFill>
                <a:prstDash val="solid"/>
              </a:ln>
            </c:spPr>
          </c:marker>
          <c:dPt>
            <c:idx val="1"/>
            <c:marker>
              <c:spPr>
                <a:solidFill>
                  <a:schemeClr val="accent2">
                    <a:lumMod val="75000"/>
                  </a:schemeClr>
                </a:solidFill>
                <a:ln>
                  <a:solidFill>
                    <a:schemeClr val="accent2">
                      <a:lumMod val="50000"/>
                    </a:schemeClr>
                  </a:solidFill>
                  <a:prstDash val="solid"/>
                </a:ln>
              </c:spPr>
            </c:marker>
            <c:bubble3D val="0"/>
            <c:spPr>
              <a:ln w="25400">
                <a:solidFill>
                  <a:srgbClr val="FF0000"/>
                </a:solidFill>
              </a:ln>
            </c:spPr>
            <c:extLst>
              <c:ext xmlns:c16="http://schemas.microsoft.com/office/drawing/2014/chart" uri="{C3380CC4-5D6E-409C-BE32-E72D297353CC}">
                <c16:uniqueId val="{00000001-0E19-4C98-B9A7-D743C0A452C6}"/>
              </c:ext>
            </c:extLst>
          </c:dPt>
          <c:dLbls>
            <c:dLbl>
              <c:idx val="0"/>
              <c:spPr>
                <a:noFill/>
                <a:ln>
                  <a:noFill/>
                </a:ln>
                <a:effectLst/>
              </c:spPr>
              <c:txPr>
                <a:bodyPr wrap="square" lIns="38100" tIns="19050" rIns="38100" bIns="19050" anchor="ctr">
                  <a:spAutoFit/>
                </a:bodyPr>
                <a:lstStyle/>
                <a:p>
                  <a:pPr>
                    <a:defRPr sz="1200" b="0">
                      <a:solidFill>
                        <a:srgbClr val="C00000"/>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0-0E19-4C98-B9A7-D743C0A452C6}"/>
                </c:ext>
              </c:extLst>
            </c:dLbl>
            <c:dLbl>
              <c:idx val="1"/>
              <c:spPr>
                <a:noFill/>
                <a:ln>
                  <a:noFill/>
                </a:ln>
                <a:effectLst/>
              </c:spPr>
              <c:txPr>
                <a:bodyPr wrap="square" lIns="38100" tIns="19050" rIns="38100" bIns="19050" anchor="ctr">
                  <a:spAutoFit/>
                </a:bodyPr>
                <a:lstStyle/>
                <a:p>
                  <a:pPr>
                    <a:defRPr sz="1200" b="0">
                      <a:solidFill>
                        <a:schemeClr val="accent2">
                          <a:lumMod val="50000"/>
                        </a:schemeClr>
                      </a:solidFill>
                      <a:latin typeface="Book Antiqua" panose="02040602050305030304" pitchFamily="18"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01-0E19-4C98-B9A7-D743C0A452C6}"/>
                </c:ext>
              </c:extLst>
            </c:dLbl>
            <c:spPr>
              <a:noFill/>
              <a:ln>
                <a:noFill/>
              </a:ln>
              <a:effectLst/>
            </c:spPr>
            <c:txPr>
              <a:bodyPr wrap="square" lIns="38100" tIns="19050" rIns="38100" bIns="19050" anchor="ctr">
                <a:spAutoFit/>
              </a:bodyPr>
              <a:lstStyle/>
              <a:p>
                <a:pPr>
                  <a:defRPr sz="1200" b="0">
                    <a:latin typeface="Book Antiqua" panose="02040602050305030304" pitchFamily="18"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'3-Cessna 172-F-HAFL'!$J$25:$J$26</c:f>
              <c:numCache>
                <c:formatCode>0.000</c:formatCode>
                <c:ptCount val="2"/>
                <c:pt idx="0">
                  <c:v>1.0665129157820241</c:v>
                </c:pt>
                <c:pt idx="1">
                  <c:v>1.0590997258236907</c:v>
                </c:pt>
              </c:numCache>
            </c:numRef>
          </c:xVal>
          <c:yVal>
            <c:numRef>
              <c:f>'3-Cessna 172-F-HAFL'!$K$25:$K$26</c:f>
              <c:numCache>
                <c:formatCode>#\ #00" kg"</c:formatCode>
                <c:ptCount val="2"/>
                <c:pt idx="0">
                  <c:v>1130.4000000000001</c:v>
                </c:pt>
                <c:pt idx="1">
                  <c:v>1075.95</c:v>
                </c:pt>
              </c:numCache>
            </c:numRef>
          </c:yVal>
          <c:smooth val="0"/>
          <c:extLst>
            <c:ext xmlns:c16="http://schemas.microsoft.com/office/drawing/2014/chart" uri="{C3380CC4-5D6E-409C-BE32-E72D297353CC}">
              <c16:uniqueId val="{00000002-0E19-4C98-B9A7-D743C0A452C6}"/>
            </c:ext>
          </c:extLst>
        </c:ser>
        <c:dLbls>
          <c:showLegendKey val="0"/>
          <c:showVal val="0"/>
          <c:showCatName val="0"/>
          <c:showSerName val="0"/>
          <c:showPercent val="0"/>
          <c:showBubbleSize val="0"/>
        </c:dLbls>
        <c:axId val="563522336"/>
        <c:axId val="1"/>
      </c:scatterChart>
      <c:valAx>
        <c:axId val="563522336"/>
        <c:scaling>
          <c:orientation val="minMax"/>
          <c:max val="1.25"/>
          <c:min val="0.85000000000000009"/>
        </c:scaling>
        <c:delete val="0"/>
        <c:axPos val="b"/>
        <c:majorGridlines>
          <c:spPr>
            <a:ln w="3175">
              <a:solidFill>
                <a:srgbClr val="000000"/>
              </a:solidFill>
              <a:prstDash val="solid"/>
            </a:ln>
          </c:spPr>
        </c:majorGridlines>
        <c:title>
          <c:tx>
            <c:rich>
              <a:bodyPr/>
              <a:lstStyle/>
              <a:p>
                <a:pPr>
                  <a:defRPr sz="1200" b="1" i="0" u="none" strike="noStrike" baseline="0">
                    <a:solidFill>
                      <a:sysClr val="windowText" lastClr="000000"/>
                    </a:solidFill>
                    <a:latin typeface="Book Antiqua" panose="02040602050305030304" pitchFamily="18" charset="0"/>
                    <a:ea typeface="Arial"/>
                    <a:cs typeface="Arial"/>
                  </a:defRPr>
                </a:pPr>
                <a:r>
                  <a:rPr lang="fr-FR" sz="1200">
                    <a:solidFill>
                      <a:sysClr val="windowText" lastClr="000000"/>
                    </a:solidFill>
                    <a:latin typeface="Book Antiqua" panose="02040602050305030304" pitchFamily="18" charset="0"/>
                  </a:rPr>
                  <a:t>Bras de levier (m)</a:t>
                </a:r>
              </a:p>
            </c:rich>
          </c:tx>
          <c:layout>
            <c:manualLayout>
              <c:xMode val="edge"/>
              <c:yMode val="edge"/>
              <c:x val="0.43981641287376394"/>
              <c:y val="0.9496864428516810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1"/>
        <c:crossesAt val="650"/>
        <c:crossBetween val="midCat"/>
        <c:majorUnit val="0.1"/>
        <c:minorUnit val="5.000000000000001E-2"/>
      </c:valAx>
      <c:valAx>
        <c:axId val="1"/>
        <c:scaling>
          <c:orientation val="minMax"/>
          <c:max val="1225"/>
          <c:min val="750"/>
        </c:scaling>
        <c:delete val="0"/>
        <c:axPos val="l"/>
        <c:majorGridlines>
          <c:spPr>
            <a:ln w="3175">
              <a:solidFill>
                <a:srgbClr val="000000"/>
              </a:solidFill>
              <a:prstDash val="solid"/>
            </a:ln>
          </c:spPr>
        </c:majorGridlines>
        <c:title>
          <c:tx>
            <c:rich>
              <a:bodyPr/>
              <a:lstStyle/>
              <a:p>
                <a:pPr>
                  <a:defRPr sz="1200" b="1" i="0" u="sng" strike="noStrike" baseline="0">
                    <a:solidFill>
                      <a:sysClr val="windowText" lastClr="000000"/>
                    </a:solidFill>
                    <a:latin typeface="Book Antiqua" panose="02040602050305030304" pitchFamily="18" charset="0"/>
                    <a:ea typeface="Arial"/>
                    <a:cs typeface="Arial"/>
                  </a:defRPr>
                </a:pPr>
                <a:r>
                  <a:rPr lang="fr-FR" sz="1200" u="sng">
                    <a:solidFill>
                      <a:sysClr val="windowText" lastClr="000000"/>
                    </a:solidFill>
                    <a:latin typeface="Book Antiqua" panose="02040602050305030304" pitchFamily="18" charset="0"/>
                  </a:rPr>
                  <a:t>Masse (kg)</a:t>
                </a:r>
              </a:p>
            </c:rich>
          </c:tx>
          <c:layout>
            <c:manualLayout>
              <c:xMode val="edge"/>
              <c:yMode val="edge"/>
              <c:x val="8.8199988987390564E-4"/>
              <c:y val="0.4325088260696085"/>
            </c:manualLayout>
          </c:layout>
          <c:overlay val="0"/>
          <c:spPr>
            <a:noFill/>
            <a:ln w="25400">
              <a:noFill/>
            </a:ln>
          </c:spPr>
        </c:title>
        <c:numFmt formatCode="#,##0.00" sourceLinked="0"/>
        <c:majorTickMark val="out"/>
        <c:minorTickMark val="out"/>
        <c:tickLblPos val="high"/>
        <c:spPr>
          <a:ln w="3175">
            <a:solidFill>
              <a:srgbClr val="000000"/>
            </a:solidFill>
            <a:prstDash val="solid"/>
          </a:ln>
        </c:spPr>
        <c:txPr>
          <a:bodyPr rot="0" vert="horz"/>
          <a:lstStyle/>
          <a:p>
            <a:pPr>
              <a:defRPr sz="1300" b="0" i="0" u="none" strike="noStrike" baseline="0">
                <a:solidFill>
                  <a:sysClr val="windowText" lastClr="000000"/>
                </a:solidFill>
                <a:latin typeface="Book Antiqua" panose="02040602050305030304" pitchFamily="18" charset="0"/>
                <a:ea typeface="Arial"/>
                <a:cs typeface="Arial"/>
              </a:defRPr>
            </a:pPr>
            <a:endParaRPr lang="fr-FR"/>
          </a:p>
        </c:txPr>
        <c:crossAx val="563522336"/>
        <c:crossesAt val="750"/>
        <c:crossBetween val="midCat"/>
        <c:majorUnit val="50"/>
        <c:minorUnit val="10"/>
      </c:valAx>
      <c:spPr>
        <a:solidFill>
          <a:schemeClr val="bg1"/>
        </a:solidFill>
        <a:ln w="12700">
          <a:solidFill>
            <a:srgbClr val="808080"/>
          </a:solidFill>
          <a:prstDash val="solid"/>
        </a:ln>
      </c:spPr>
    </c:plotArea>
    <c:plotVisOnly val="1"/>
    <c:dispBlanksAs val="gap"/>
    <c:showDLblsOverMax val="0"/>
  </c:chart>
  <c:spPr>
    <a:solidFill>
      <a:srgbClr val="FFFFFF"/>
    </a:solidFill>
    <a:ln w="3175">
      <a:solidFill>
        <a:schemeClr val="tx1"/>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fr-FR"/>
    </a:p>
  </c:txPr>
  <c:printSettings>
    <c:headerFooter alignWithMargins="0">
      <c:oddHeader>&amp;A</c:oddHeader>
      <c:oddFooter>Page &amp;P</c:oddFooter>
    </c:headerFooter>
    <c:pageMargins b="0.984251969" l="0.78740157499999996" r="0.78740157499999996" t="0.984251969" header="0.4921259845" footer="0.4921259845"/>
    <c:pageSetup paperSize="9" orientation="landscape" horizontalDpi="300" verticalDpi="3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acba@bbox.fr" TargetMode="External"/><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13.xml"/><Relationship Id="rId7" Type="http://schemas.openxmlformats.org/officeDocument/2006/relationships/image" Target="../media/image6.jpg"/><Relationship Id="rId2" Type="http://schemas.openxmlformats.org/officeDocument/2006/relationships/image" Target="../media/image7.png"/><Relationship Id="rId1" Type="http://schemas.openxmlformats.org/officeDocument/2006/relationships/chart" Target="../charts/chart12.xml"/><Relationship Id="rId6" Type="http://schemas.openxmlformats.org/officeDocument/2006/relationships/image" Target="../media/image3.png"/><Relationship Id="rId5" Type="http://schemas.openxmlformats.org/officeDocument/2006/relationships/image" Target="../media/image18.jpeg"/><Relationship Id="rId4"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16.xml"/><Relationship Id="rId7" Type="http://schemas.openxmlformats.org/officeDocument/2006/relationships/image" Target="../media/image6.jpg"/><Relationship Id="rId2" Type="http://schemas.openxmlformats.org/officeDocument/2006/relationships/image" Target="../media/image24.png"/><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image" Target="../media/image18.jpeg"/><Relationship Id="rId4"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chart" Target="../charts/chart20.xml"/><Relationship Id="rId7" Type="http://schemas.openxmlformats.org/officeDocument/2006/relationships/image" Target="../media/image19.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6.jpg"/><Relationship Id="rId5" Type="http://schemas.openxmlformats.org/officeDocument/2006/relationships/image" Target="../media/image3.png"/><Relationship Id="rId4"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2.xml"/><Relationship Id="rId7" Type="http://schemas.openxmlformats.org/officeDocument/2006/relationships/image" Target="../media/image6.jpg"/><Relationship Id="rId2" Type="http://schemas.openxmlformats.org/officeDocument/2006/relationships/image" Target="../media/image26.png"/><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image" Target="../media/image23.jpeg"/><Relationship Id="rId4"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5.xml"/><Relationship Id="rId7" Type="http://schemas.openxmlformats.org/officeDocument/2006/relationships/image" Target="../media/image6.jpg"/><Relationship Id="rId2" Type="http://schemas.openxmlformats.org/officeDocument/2006/relationships/image" Target="../media/image27.png"/><Relationship Id="rId1" Type="http://schemas.openxmlformats.org/officeDocument/2006/relationships/chart" Target="../charts/chart24.xml"/><Relationship Id="rId6" Type="http://schemas.openxmlformats.org/officeDocument/2006/relationships/image" Target="../media/image3.png"/><Relationship Id="rId5" Type="http://schemas.openxmlformats.org/officeDocument/2006/relationships/image" Target="../media/image23.jpeg"/><Relationship Id="rId4"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chart" Target="../charts/chart29.xml"/><Relationship Id="rId7" Type="http://schemas.openxmlformats.org/officeDocument/2006/relationships/image" Target="../media/image19.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6.jpg"/><Relationship Id="rId5" Type="http://schemas.openxmlformats.org/officeDocument/2006/relationships/image" Target="../media/image3.png"/><Relationship Id="rId4"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jp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6.jpg"/><Relationship Id="rId7"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image" Target="../media/image18.jpeg"/><Relationship Id="rId6" Type="http://schemas.openxmlformats.org/officeDocument/2006/relationships/image" Target="../media/image20.png"/><Relationship Id="rId5" Type="http://schemas.openxmlformats.org/officeDocument/2006/relationships/chart" Target="../charts/chart1.xml"/><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6.jpg"/><Relationship Id="rId3" Type="http://schemas.openxmlformats.org/officeDocument/2006/relationships/image" Target="../media/image21.png"/><Relationship Id="rId7" Type="http://schemas.openxmlformats.org/officeDocument/2006/relationships/image" Target="../media/image3.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18.jpeg"/><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image" Target="../media/image19.png"/></Relationships>
</file>

<file path=xl/drawings/_rels/drawing9.xml.rels><?xml version="1.0" encoding="UTF-8" standalone="yes"?>
<Relationships xmlns="http://schemas.openxmlformats.org/package/2006/relationships"><Relationship Id="rId8" Type="http://schemas.openxmlformats.org/officeDocument/2006/relationships/image" Target="../media/image6.jpg"/><Relationship Id="rId3" Type="http://schemas.openxmlformats.org/officeDocument/2006/relationships/chart" Target="../charts/chart9.xml"/><Relationship Id="rId7" Type="http://schemas.openxmlformats.org/officeDocument/2006/relationships/image" Target="../media/image3.png"/><Relationship Id="rId2" Type="http://schemas.openxmlformats.org/officeDocument/2006/relationships/image" Target="../media/image22.png"/><Relationship Id="rId1" Type="http://schemas.openxmlformats.org/officeDocument/2006/relationships/chart" Target="../charts/chart8.xml"/><Relationship Id="rId6" Type="http://schemas.openxmlformats.org/officeDocument/2006/relationships/image" Target="../media/image23.jpeg"/><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18</xdr:col>
      <xdr:colOff>166685</xdr:colOff>
      <xdr:row>30</xdr:row>
      <xdr:rowOff>112569</xdr:rowOff>
    </xdr:to>
    <xdr:pic>
      <xdr:nvPicPr>
        <xdr:cNvPr id="6" name="Image 5">
          <a:extLst>
            <a:ext uri="{FF2B5EF4-FFF2-40B4-BE49-F238E27FC236}">
              <a16:creationId xmlns:a16="http://schemas.microsoft.com/office/drawing/2014/main" id="{95A8E826-7749-411C-BE77-C718F9301E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9136" y="0"/>
          <a:ext cx="10315140" cy="15967364"/>
        </a:xfrm>
        <a:prstGeom prst="rect">
          <a:avLst/>
        </a:prstGeom>
        <a:effectLst>
          <a:outerShdw blurRad="50800" dist="38100" dir="2700000" algn="tl" rotWithShape="0">
            <a:prstClr val="black">
              <a:alpha val="40000"/>
            </a:prstClr>
          </a:outerShdw>
        </a:effectLst>
      </xdr:spPr>
    </xdr:pic>
    <xdr:clientData/>
  </xdr:twoCellAnchor>
  <xdr:twoCellAnchor>
    <xdr:from>
      <xdr:col>0</xdr:col>
      <xdr:colOff>0</xdr:colOff>
      <xdr:row>24</xdr:row>
      <xdr:rowOff>31750</xdr:rowOff>
    </xdr:from>
    <xdr:to>
      <xdr:col>3</xdr:col>
      <xdr:colOff>529167</xdr:colOff>
      <xdr:row>24</xdr:row>
      <xdr:rowOff>2000250</xdr:rowOff>
    </xdr:to>
    <xdr:grpSp>
      <xdr:nvGrpSpPr>
        <xdr:cNvPr id="17" name="Groupe 16">
          <a:extLst>
            <a:ext uri="{FF2B5EF4-FFF2-40B4-BE49-F238E27FC236}">
              <a16:creationId xmlns:a16="http://schemas.microsoft.com/office/drawing/2014/main" id="{442139E5-63C2-4F55-ACEA-F3280D0D3716}"/>
            </a:ext>
          </a:extLst>
        </xdr:cNvPr>
        <xdr:cNvGrpSpPr/>
      </xdr:nvGrpSpPr>
      <xdr:grpSpPr>
        <a:xfrm>
          <a:off x="0" y="10299700"/>
          <a:ext cx="5339292" cy="1968500"/>
          <a:chOff x="0" y="10393707"/>
          <a:chExt cx="5070022" cy="1886276"/>
        </a:xfrm>
      </xdr:grpSpPr>
      <xdr:pic>
        <xdr:nvPicPr>
          <xdr:cNvPr id="5" name="Image 4">
            <a:extLst>
              <a:ext uri="{FF2B5EF4-FFF2-40B4-BE49-F238E27FC236}">
                <a16:creationId xmlns:a16="http://schemas.microsoft.com/office/drawing/2014/main" id="{F85C33E7-F2BE-44E4-8EF2-8CEB17F3C0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93707"/>
            <a:ext cx="5070022" cy="1886276"/>
          </a:xfrm>
          <a:prstGeom prst="roundRect">
            <a:avLst>
              <a:gd name="adj" fmla="val 16667"/>
            </a:avLst>
          </a:prstGeom>
          <a:ln w="19050">
            <a:solidFill>
              <a:srgbClr val="002060"/>
            </a:solidFill>
          </a:ln>
          <a:effectLst>
            <a:outerShdw blurRad="50800" dist="38100" dir="8100000" algn="tr" rotWithShape="0">
              <a:prstClr val="black">
                <a:alpha val="40000"/>
              </a:prstClr>
            </a:outerShdw>
          </a:effectLst>
          <a:scene3d>
            <a:camera prst="orthographicFront"/>
            <a:lightRig rig="contrasting" dir="t">
              <a:rot lat="0" lon="0" rev="4200000"/>
            </a:lightRig>
          </a:scene3d>
          <a:sp3d prstMaterial="plastic">
            <a:bevelT w="381000" h="114300" prst="relaxedInset"/>
            <a:contourClr>
              <a:srgbClr val="969696"/>
            </a:contourClr>
          </a:sp3d>
        </xdr:spPr>
      </xdr:pic>
      <xdr:sp macro="" textlink="">
        <xdr:nvSpPr>
          <xdr:cNvPr id="9" name="Rectangle 8">
            <a:extLst>
              <a:ext uri="{FF2B5EF4-FFF2-40B4-BE49-F238E27FC236}">
                <a16:creationId xmlns:a16="http://schemas.microsoft.com/office/drawing/2014/main" id="{A1D5062B-88CB-4717-BC54-92E77A50F1EE}"/>
              </a:ext>
            </a:extLst>
          </xdr:cNvPr>
          <xdr:cNvSpPr/>
        </xdr:nvSpPr>
        <xdr:spPr>
          <a:xfrm>
            <a:off x="3837214" y="11342914"/>
            <a:ext cx="1202872" cy="67491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Ellipse 12">
            <a:extLst>
              <a:ext uri="{FF2B5EF4-FFF2-40B4-BE49-F238E27FC236}">
                <a16:creationId xmlns:a16="http://schemas.microsoft.com/office/drawing/2014/main" id="{AF1D9680-C313-4B30-9791-25846DB951E1}"/>
              </a:ext>
            </a:extLst>
          </xdr:cNvPr>
          <xdr:cNvSpPr/>
        </xdr:nvSpPr>
        <xdr:spPr>
          <a:xfrm>
            <a:off x="2590800" y="10874829"/>
            <a:ext cx="337457" cy="337457"/>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absolute">
    <xdr:from>
      <xdr:col>2</xdr:col>
      <xdr:colOff>64614</xdr:colOff>
      <xdr:row>26</xdr:row>
      <xdr:rowOff>128468</xdr:rowOff>
    </xdr:from>
    <xdr:to>
      <xdr:col>2</xdr:col>
      <xdr:colOff>3750789</xdr:colOff>
      <xdr:row>30</xdr:row>
      <xdr:rowOff>3574</xdr:rowOff>
    </xdr:to>
    <xdr:sp macro="" textlink="">
      <xdr:nvSpPr>
        <xdr:cNvPr id="4" name="Rectangle : avec coins arrondis en diagonale 3">
          <a:hlinkClick xmlns:r="http://schemas.openxmlformats.org/officeDocument/2006/relationships" r:id="rId3"/>
          <a:extLst>
            <a:ext uri="{FF2B5EF4-FFF2-40B4-BE49-F238E27FC236}">
              <a16:creationId xmlns:a16="http://schemas.microsoft.com/office/drawing/2014/main" id="{095564F6-601A-4C44-8C5E-0CEDB3D2259C}"/>
            </a:ext>
          </a:extLst>
        </xdr:cNvPr>
        <xdr:cNvSpPr/>
      </xdr:nvSpPr>
      <xdr:spPr>
        <a:xfrm>
          <a:off x="618796" y="14749154"/>
          <a:ext cx="3686175" cy="1118281"/>
        </a:xfrm>
        <a:prstGeom prst="round2DiagRect">
          <a:avLst/>
        </a:prstGeom>
        <a:solidFill>
          <a:schemeClr val="accent5">
            <a:lumMod val="20000"/>
            <a:lumOff val="80000"/>
          </a:schemeClr>
        </a:solidFill>
        <a:ln w="28575"/>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Version 23</a:t>
          </a:r>
          <a:r>
            <a:rPr lang="fr-FR" sz="1400" b="0">
              <a:solidFill>
                <a:srgbClr val="002060"/>
              </a:solidFill>
              <a:latin typeface="Book Antiqua" panose="02040602050305030304" pitchFamily="18" charset="0"/>
            </a:rPr>
            <a:t> du 04.03.2025</a:t>
          </a:r>
        </a:p>
        <a:p>
          <a:pPr algn="ctr"/>
          <a:r>
            <a:rPr lang="fr-FR" sz="1400" b="0">
              <a:solidFill>
                <a:srgbClr val="002060"/>
              </a:solidFill>
              <a:latin typeface="Book Antiqua" panose="02040602050305030304" pitchFamily="18" charset="0"/>
            </a:rPr>
            <a:t>AéroClub du Bassin d'Arcachon</a:t>
          </a:r>
          <a:br>
            <a:rPr lang="fr-FR" sz="1400" b="0">
              <a:solidFill>
                <a:srgbClr val="002060"/>
              </a:solidFill>
              <a:latin typeface="Book Antiqua" panose="02040602050305030304" pitchFamily="18" charset="0"/>
            </a:rPr>
          </a:br>
          <a:r>
            <a:rPr lang="fr-FR" sz="1400" b="0">
              <a:solidFill>
                <a:srgbClr val="002060"/>
              </a:solidFill>
              <a:latin typeface="Book Antiqua" panose="02040602050305030304" pitchFamily="18" charset="0"/>
            </a:rPr>
            <a:t>acba@bbox.fr</a:t>
          </a:r>
        </a:p>
      </xdr:txBody>
    </xdr:sp>
    <xdr:clientData/>
  </xdr:twoCellAnchor>
  <xdr:twoCellAnchor editAs="oneCell">
    <xdr:from>
      <xdr:col>1</xdr:col>
      <xdr:colOff>52973</xdr:colOff>
      <xdr:row>25</xdr:row>
      <xdr:rowOff>10392</xdr:rowOff>
    </xdr:from>
    <xdr:to>
      <xdr:col>2</xdr:col>
      <xdr:colOff>436825</xdr:colOff>
      <xdr:row>25</xdr:row>
      <xdr:rowOff>782475</xdr:rowOff>
    </xdr:to>
    <xdr:pic>
      <xdr:nvPicPr>
        <xdr:cNvPr id="8" name="Image 7">
          <a:extLst>
            <a:ext uri="{FF2B5EF4-FFF2-40B4-BE49-F238E27FC236}">
              <a16:creationId xmlns:a16="http://schemas.microsoft.com/office/drawing/2014/main" id="{F49202DD-7B0A-4569-A011-E6B64C04AF3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6155" y="12566074"/>
          <a:ext cx="764852" cy="772083"/>
        </a:xfrm>
        <a:prstGeom prst="rect">
          <a:avLst/>
        </a:prstGeom>
      </xdr:spPr>
    </xdr:pic>
    <xdr:clientData/>
  </xdr:twoCellAnchor>
  <xdr:twoCellAnchor editAs="absolute">
    <xdr:from>
      <xdr:col>4</xdr:col>
      <xdr:colOff>13468</xdr:colOff>
      <xdr:row>0</xdr:row>
      <xdr:rowOff>0</xdr:rowOff>
    </xdr:from>
    <xdr:to>
      <xdr:col>6</xdr:col>
      <xdr:colOff>259997</xdr:colOff>
      <xdr:row>1</xdr:row>
      <xdr:rowOff>257735</xdr:rowOff>
    </xdr:to>
    <xdr:sp macro="" textlink="">
      <xdr:nvSpPr>
        <xdr:cNvPr id="2" name="ZoneTexte 1">
          <a:extLst>
            <a:ext uri="{FF2B5EF4-FFF2-40B4-BE49-F238E27FC236}">
              <a16:creationId xmlns:a16="http://schemas.microsoft.com/office/drawing/2014/main" id="{2F0F5532-9C9E-4E6A-84DE-B968961EC889}"/>
            </a:ext>
          </a:extLst>
        </xdr:cNvPr>
        <xdr:cNvSpPr txBox="1"/>
      </xdr:nvSpPr>
      <xdr:spPr>
        <a:xfrm>
          <a:off x="5580301" y="0"/>
          <a:ext cx="1770529" cy="384735"/>
        </a:xfrm>
        <a:prstGeom prst="roundRect">
          <a:avLst/>
        </a:prstGeom>
        <a:solidFill>
          <a:srgbClr val="FFC000"/>
        </a:solidFill>
        <a:ln w="19050"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latin typeface="Book Antiqua" panose="02040602050305030304" pitchFamily="18" charset="0"/>
            </a:rPr>
            <a:t>EXEMPLE</a:t>
          </a:r>
          <a:r>
            <a:rPr lang="fr-FR" sz="1400" b="1" baseline="0">
              <a:latin typeface="Book Antiqua" panose="02040602050305030304" pitchFamily="18" charset="0"/>
            </a:rPr>
            <a:t> 1</a:t>
          </a:r>
          <a:endParaRPr lang="fr-FR" sz="1400" b="1">
            <a:latin typeface="Book Antiqua" panose="02040602050305030304" pitchFamily="18" charset="0"/>
          </a:endParaRPr>
        </a:p>
      </xdr:txBody>
    </xdr:sp>
    <xdr:clientData/>
  </xdr:twoCellAnchor>
  <xdr:twoCellAnchor editAs="absolute">
    <xdr:from>
      <xdr:col>4</xdr:col>
      <xdr:colOff>13468</xdr:colOff>
      <xdr:row>20</xdr:row>
      <xdr:rowOff>375487</xdr:rowOff>
    </xdr:from>
    <xdr:to>
      <xdr:col>6</xdr:col>
      <xdr:colOff>259997</xdr:colOff>
      <xdr:row>21</xdr:row>
      <xdr:rowOff>222803</xdr:rowOff>
    </xdr:to>
    <xdr:sp macro="" textlink="">
      <xdr:nvSpPr>
        <xdr:cNvPr id="7" name="ZoneTexte 6">
          <a:extLst>
            <a:ext uri="{FF2B5EF4-FFF2-40B4-BE49-F238E27FC236}">
              <a16:creationId xmlns:a16="http://schemas.microsoft.com/office/drawing/2014/main" id="{A85F153C-678D-49E6-A282-7DAB125EDAA0}"/>
            </a:ext>
          </a:extLst>
        </xdr:cNvPr>
        <xdr:cNvSpPr txBox="1"/>
      </xdr:nvSpPr>
      <xdr:spPr>
        <a:xfrm>
          <a:off x="5580301" y="8281237"/>
          <a:ext cx="1770529" cy="376483"/>
        </a:xfrm>
        <a:prstGeom prst="roundRect">
          <a:avLst/>
        </a:prstGeom>
        <a:solidFill>
          <a:srgbClr val="FFC000"/>
        </a:solidFill>
        <a:ln w="19050" cmpd="sng">
          <a:solidFill>
            <a:schemeClr val="tx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latin typeface="Book Antiqua" panose="02040602050305030304" pitchFamily="18" charset="0"/>
            </a:rPr>
            <a:t>EXEMPLE</a:t>
          </a:r>
          <a:r>
            <a:rPr lang="fr-FR" sz="1400" b="1" baseline="0">
              <a:latin typeface="Book Antiqua" panose="02040602050305030304" pitchFamily="18" charset="0"/>
            </a:rPr>
            <a:t> 2</a:t>
          </a:r>
          <a:endParaRPr lang="fr-FR" sz="1400" b="1">
            <a:latin typeface="Book Antiqua" panose="02040602050305030304" pitchFamily="18" charset="0"/>
          </a:endParaRPr>
        </a:p>
      </xdr:txBody>
    </xdr:sp>
    <xdr:clientData/>
  </xdr:twoCellAnchor>
  <xdr:twoCellAnchor editAs="absolute">
    <xdr:from>
      <xdr:col>2</xdr:col>
      <xdr:colOff>3994982</xdr:colOff>
      <xdr:row>18</xdr:row>
      <xdr:rowOff>1350136</xdr:rowOff>
    </xdr:from>
    <xdr:to>
      <xdr:col>4</xdr:col>
      <xdr:colOff>191679</xdr:colOff>
      <xdr:row>19</xdr:row>
      <xdr:rowOff>78016</xdr:rowOff>
    </xdr:to>
    <xdr:sp macro="" textlink="">
      <xdr:nvSpPr>
        <xdr:cNvPr id="16" name="Flèche : droite à entaille 15">
          <a:extLst>
            <a:ext uri="{FF2B5EF4-FFF2-40B4-BE49-F238E27FC236}">
              <a16:creationId xmlns:a16="http://schemas.microsoft.com/office/drawing/2014/main" id="{00B43E48-A803-4407-8078-8230C7271C4D}"/>
            </a:ext>
          </a:extLst>
        </xdr:cNvPr>
        <xdr:cNvSpPr/>
      </xdr:nvSpPr>
      <xdr:spPr>
        <a:xfrm rot="18965297">
          <a:off x="4555899" y="7266219"/>
          <a:ext cx="1202613" cy="590547"/>
        </a:xfrm>
        <a:prstGeom prst="notchedRigh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absolute">
    <xdr:from>
      <xdr:col>3</xdr:col>
      <xdr:colOff>56943</xdr:colOff>
      <xdr:row>22</xdr:row>
      <xdr:rowOff>652158</xdr:rowOff>
    </xdr:from>
    <xdr:to>
      <xdr:col>3</xdr:col>
      <xdr:colOff>647044</xdr:colOff>
      <xdr:row>24</xdr:row>
      <xdr:rowOff>845271</xdr:rowOff>
    </xdr:to>
    <xdr:sp macro="" textlink="">
      <xdr:nvSpPr>
        <xdr:cNvPr id="18" name="Flèche : droite à entaille 17">
          <a:extLst>
            <a:ext uri="{FF2B5EF4-FFF2-40B4-BE49-F238E27FC236}">
              <a16:creationId xmlns:a16="http://schemas.microsoft.com/office/drawing/2014/main" id="{AF430D2A-F243-4CE0-9E33-540B5BA1BF3C}"/>
            </a:ext>
          </a:extLst>
        </xdr:cNvPr>
        <xdr:cNvSpPr/>
      </xdr:nvSpPr>
      <xdr:spPr>
        <a:xfrm rot="2796096">
          <a:off x="4552270" y="10285581"/>
          <a:ext cx="1209113" cy="590101"/>
        </a:xfrm>
        <a:prstGeom prst="notchedRigh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clientData/>
  </xdr:twoCellAnchor>
  <xdr:twoCellAnchor>
    <xdr:from>
      <xdr:col>2</xdr:col>
      <xdr:colOff>2519804</xdr:colOff>
      <xdr:row>23</xdr:row>
      <xdr:rowOff>114299</xdr:rowOff>
    </xdr:from>
    <xdr:to>
      <xdr:col>3</xdr:col>
      <xdr:colOff>477753</xdr:colOff>
      <xdr:row>24</xdr:row>
      <xdr:rowOff>1142998</xdr:rowOff>
    </xdr:to>
    <xdr:grpSp>
      <xdr:nvGrpSpPr>
        <xdr:cNvPr id="20" name="Groupe 19">
          <a:extLst>
            <a:ext uri="{FF2B5EF4-FFF2-40B4-BE49-F238E27FC236}">
              <a16:creationId xmlns:a16="http://schemas.microsoft.com/office/drawing/2014/main" id="{C9AFB56E-5978-419C-998D-96E3AA7FD003}"/>
            </a:ext>
          </a:extLst>
        </xdr:cNvPr>
        <xdr:cNvGrpSpPr/>
      </xdr:nvGrpSpPr>
      <xdr:grpSpPr>
        <a:xfrm>
          <a:off x="3081779" y="10258424"/>
          <a:ext cx="2206099" cy="1152524"/>
          <a:chOff x="2868563" y="10368642"/>
          <a:chExt cx="2209086" cy="1153885"/>
        </a:xfrm>
      </xdr:grpSpPr>
      <xdr:sp macro="" textlink="">
        <xdr:nvSpPr>
          <xdr:cNvPr id="11" name="ZoneTexte 10">
            <a:extLst>
              <a:ext uri="{FF2B5EF4-FFF2-40B4-BE49-F238E27FC236}">
                <a16:creationId xmlns:a16="http://schemas.microsoft.com/office/drawing/2014/main" id="{01A447A1-B418-4BEF-B4E2-95A5D3AEFDA3}"/>
              </a:ext>
            </a:extLst>
          </xdr:cNvPr>
          <xdr:cNvSpPr txBox="1"/>
        </xdr:nvSpPr>
        <xdr:spPr>
          <a:xfrm>
            <a:off x="3748885" y="10368642"/>
            <a:ext cx="1328764" cy="1153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rgbClr val="7030A0"/>
                </a:solidFill>
                <a:latin typeface="Book Antiqua" panose="02040602050305030304" pitchFamily="18" charset="0"/>
              </a:rPr>
              <a:t>En survolant avec la souris les cellules</a:t>
            </a:r>
            <a:r>
              <a:rPr lang="fr-FR" sz="1000" baseline="0">
                <a:solidFill>
                  <a:srgbClr val="7030A0"/>
                </a:solidFill>
                <a:latin typeface="Book Antiqua" panose="02040602050305030304" pitchFamily="18" charset="0"/>
              </a:rPr>
              <a:t> ayant un petit triangle violet un message d'info sur la cellule s'affiche </a:t>
            </a:r>
            <a:endParaRPr lang="fr-FR" sz="1000">
              <a:solidFill>
                <a:srgbClr val="7030A0"/>
              </a:solidFill>
              <a:latin typeface="Book Antiqua" panose="02040602050305030304" pitchFamily="18" charset="0"/>
            </a:endParaRPr>
          </a:p>
        </xdr:txBody>
      </xdr:sp>
      <xdr:cxnSp macro="">
        <xdr:nvCxnSpPr>
          <xdr:cNvPr id="15" name="Connecteur : en angle 14">
            <a:extLst>
              <a:ext uri="{FF2B5EF4-FFF2-40B4-BE49-F238E27FC236}">
                <a16:creationId xmlns:a16="http://schemas.microsoft.com/office/drawing/2014/main" id="{C775482C-7F48-4DA2-A36C-B9673EF854B1}"/>
              </a:ext>
            </a:extLst>
          </xdr:cNvPr>
          <xdr:cNvCxnSpPr>
            <a:stCxn id="13" idx="6"/>
          </xdr:cNvCxnSpPr>
        </xdr:nvCxnSpPr>
        <xdr:spPr>
          <a:xfrm>
            <a:off x="2868563" y="11090137"/>
            <a:ext cx="1561923" cy="252776"/>
          </a:xfrm>
          <a:prstGeom prst="bentConnector3">
            <a:avLst>
              <a:gd name="adj1"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c:userShapes xmlns:c="http://schemas.openxmlformats.org/drawingml/2006/chart">
  <cdr:relSizeAnchor xmlns:cdr="http://schemas.openxmlformats.org/drawingml/2006/chartDrawing">
    <cdr:from>
      <cdr:x>0.12384</cdr:x>
      <cdr:y>0.00791</cdr:y>
    </cdr:from>
    <cdr:to>
      <cdr:x>0.95933</cdr:x>
      <cdr:y>0.0602</cdr:y>
    </cdr:to>
    <cdr:sp macro="" textlink="">
      <cdr:nvSpPr>
        <cdr:cNvPr id="8193" name="Text Box 1"/>
        <cdr:cNvSpPr txBox="1">
          <a:spLocks xmlns:a="http://schemas.openxmlformats.org/drawingml/2006/main" noChangeArrowheads="1"/>
        </cdr:cNvSpPr>
      </cdr:nvSpPr>
      <cdr:spPr bwMode="auto">
        <a:xfrm xmlns:a="http://schemas.openxmlformats.org/drawingml/2006/main">
          <a:off x="750794" y="40057"/>
          <a:ext cx="5065059" cy="264805"/>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MOMENT - C172 - F-HAFL</a:t>
          </a:r>
        </a:p>
      </cdr:txBody>
    </cdr:sp>
  </cdr:relSizeAnchor>
</c:userShapes>
</file>

<file path=xl/drawings/drawing11.xml><?xml version="1.0" encoding="utf-8"?>
<c:userShapes xmlns:c="http://schemas.openxmlformats.org/drawingml/2006/chart">
  <cdr:relSizeAnchor xmlns:cdr="http://schemas.openxmlformats.org/drawingml/2006/chartDrawing">
    <cdr:from>
      <cdr:x>0.03707</cdr:x>
      <cdr:y>0.00649</cdr:y>
    </cdr:from>
    <cdr:to>
      <cdr:x>0.87674</cdr:x>
      <cdr:y>0.06684</cdr:y>
    </cdr:to>
    <cdr:sp macro="" textlink="">
      <cdr:nvSpPr>
        <cdr:cNvPr id="8193" name="Text Box 1"/>
        <cdr:cNvSpPr txBox="1">
          <a:spLocks xmlns:a="http://schemas.openxmlformats.org/drawingml/2006/main" noChangeArrowheads="1"/>
        </cdr:cNvSpPr>
      </cdr:nvSpPr>
      <cdr:spPr bwMode="auto">
        <a:xfrm xmlns:a="http://schemas.openxmlformats.org/drawingml/2006/main">
          <a:off x="224119" y="32866"/>
          <a:ext cx="5076264" cy="305614"/>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BRAS DE LEVIER</a:t>
          </a: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133172</xdr:colOff>
      <xdr:row>24</xdr:row>
      <xdr:rowOff>21890</xdr:rowOff>
    </xdr:from>
    <xdr:to>
      <xdr:col>11</xdr:col>
      <xdr:colOff>169129</xdr:colOff>
      <xdr:row>55</xdr:row>
      <xdr:rowOff>0</xdr:rowOff>
    </xdr:to>
    <xdr:graphicFrame macro="">
      <xdr:nvGraphicFramePr>
        <xdr:cNvPr id="2" name="Chart 1">
          <a:extLst>
            <a:ext uri="{FF2B5EF4-FFF2-40B4-BE49-F238E27FC236}">
              <a16:creationId xmlns:a16="http://schemas.microsoft.com/office/drawing/2014/main" id="{D0E741F9-D782-4F94-92E2-20B802F6E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918931</xdr:colOff>
      <xdr:row>18</xdr:row>
      <xdr:rowOff>172549</xdr:rowOff>
    </xdr:from>
    <xdr:to>
      <xdr:col>9</xdr:col>
      <xdr:colOff>1018135</xdr:colOff>
      <xdr:row>23</xdr:row>
      <xdr:rowOff>177654</xdr:rowOff>
    </xdr:to>
    <xdr:pic>
      <xdr:nvPicPr>
        <xdr:cNvPr id="9" name="Image 8">
          <a:extLst>
            <a:ext uri="{FF2B5EF4-FFF2-40B4-BE49-F238E27FC236}">
              <a16:creationId xmlns:a16="http://schemas.microsoft.com/office/drawing/2014/main" id="{60B82851-C20C-45D9-8ABA-5F7A0B681B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35074" y="6295763"/>
          <a:ext cx="4467097" cy="1569927"/>
        </a:xfrm>
        <a:prstGeom prst="rect">
          <a:avLst/>
        </a:prstGeom>
      </xdr:spPr>
    </xdr:pic>
    <xdr:clientData/>
  </xdr:twoCellAnchor>
  <xdr:twoCellAnchor editAs="oneCell">
    <xdr:from>
      <xdr:col>1</xdr:col>
      <xdr:colOff>1508318</xdr:colOff>
      <xdr:row>26</xdr:row>
      <xdr:rowOff>267157</xdr:rowOff>
    </xdr:from>
    <xdr:to>
      <xdr:col>3</xdr:col>
      <xdr:colOff>601435</xdr:colOff>
      <xdr:row>29</xdr:row>
      <xdr:rowOff>163286</xdr:rowOff>
    </xdr:to>
    <xdr:grpSp>
      <xdr:nvGrpSpPr>
        <xdr:cNvPr id="10" name="Groupe 9">
          <a:extLst>
            <a:ext uri="{FF2B5EF4-FFF2-40B4-BE49-F238E27FC236}">
              <a16:creationId xmlns:a16="http://schemas.microsoft.com/office/drawing/2014/main" id="{CCBDC016-7105-4A3C-BC6C-478C840B0201}"/>
            </a:ext>
          </a:extLst>
        </xdr:cNvPr>
        <xdr:cNvGrpSpPr/>
      </xdr:nvGrpSpPr>
      <xdr:grpSpPr>
        <a:xfrm>
          <a:off x="4354612" y="8918098"/>
          <a:ext cx="2152323" cy="837423"/>
          <a:chOff x="1297409" y="9113934"/>
          <a:chExt cx="2085088" cy="823445"/>
        </a:xfrm>
      </xdr:grpSpPr>
      <xdr:sp macro="" textlink="">
        <xdr:nvSpPr>
          <xdr:cNvPr id="5" name="Rectangle 4">
            <a:extLst>
              <a:ext uri="{FF2B5EF4-FFF2-40B4-BE49-F238E27FC236}">
                <a16:creationId xmlns:a16="http://schemas.microsoft.com/office/drawing/2014/main" id="{2595679C-EA41-4014-AAB2-09F7D545B06D}"/>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baseline="0">
                <a:solidFill>
                  <a:srgbClr val="C00000"/>
                </a:solidFill>
                <a:latin typeface="Book Antiqua" panose="02040602050305030304" pitchFamily="18" charset="0"/>
              </a:rPr>
              <a:t>Masse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6" name="Rectangle 5">
            <a:extLst>
              <a:ext uri="{FF2B5EF4-FFF2-40B4-BE49-F238E27FC236}">
                <a16:creationId xmlns:a16="http://schemas.microsoft.com/office/drawing/2014/main" id="{40C5C3BB-A258-4E40-9ED8-EF4B0B3257EA}"/>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 name="Rectangle 7">
            <a:extLst>
              <a:ext uri="{FF2B5EF4-FFF2-40B4-BE49-F238E27FC236}">
                <a16:creationId xmlns:a16="http://schemas.microsoft.com/office/drawing/2014/main" id="{F1702591-E96D-4A03-821E-09609FF8373B}"/>
              </a:ext>
            </a:extLst>
          </xdr:cNvPr>
          <xdr:cNvSpPr/>
        </xdr:nvSpPr>
        <xdr:spPr>
          <a:xfrm rot="2749803" flipH="1">
            <a:off x="1301245" y="9569293"/>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16</xdr:row>
      <xdr:rowOff>10583</xdr:rowOff>
    </xdr:from>
    <xdr:to>
      <xdr:col>2</xdr:col>
      <xdr:colOff>709085</xdr:colOff>
      <xdr:row>17</xdr:row>
      <xdr:rowOff>243417</xdr:rowOff>
    </xdr:to>
    <xdr:sp macro="" textlink="$D$24">
      <xdr:nvSpPr>
        <xdr:cNvPr id="13" name="Rectangle : coins arrondis 12">
          <a:extLst>
            <a:ext uri="{FF2B5EF4-FFF2-40B4-BE49-F238E27FC236}">
              <a16:creationId xmlns:a16="http://schemas.microsoft.com/office/drawing/2014/main" id="{9666500A-C7B8-45C1-8CBA-970D8AEA6B7F}"/>
            </a:ext>
          </a:extLst>
        </xdr:cNvPr>
        <xdr:cNvSpPr/>
      </xdr:nvSpPr>
      <xdr:spPr>
        <a:xfrm>
          <a:off x="222251" y="5894916"/>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6C2A0292-C448-43A8-8B6F-56C327FA91D1}"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75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16</xdr:row>
      <xdr:rowOff>0</xdr:rowOff>
    </xdr:from>
    <xdr:to>
      <xdr:col>2</xdr:col>
      <xdr:colOff>931334</xdr:colOff>
      <xdr:row>16</xdr:row>
      <xdr:rowOff>264588</xdr:rowOff>
    </xdr:to>
    <xdr:sp macro="" textlink="">
      <xdr:nvSpPr>
        <xdr:cNvPr id="14" name="ZoneTexte 13">
          <a:extLst>
            <a:ext uri="{FF2B5EF4-FFF2-40B4-BE49-F238E27FC236}">
              <a16:creationId xmlns:a16="http://schemas.microsoft.com/office/drawing/2014/main" id="{D3D1E220-AD7E-4519-B656-0D946CFFBD6A}"/>
            </a:ext>
          </a:extLst>
        </xdr:cNvPr>
        <xdr:cNvSpPr txBox="1"/>
      </xdr:nvSpPr>
      <xdr:spPr>
        <a:xfrm>
          <a:off x="0" y="5884333"/>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2</xdr:col>
      <xdr:colOff>556955</xdr:colOff>
      <xdr:row>8</xdr:row>
      <xdr:rowOff>224893</xdr:rowOff>
    </xdr:from>
    <xdr:to>
      <xdr:col>2</xdr:col>
      <xdr:colOff>1046812</xdr:colOff>
      <xdr:row>10</xdr:row>
      <xdr:rowOff>95028</xdr:rowOff>
    </xdr:to>
    <xdr:sp macro="" textlink="">
      <xdr:nvSpPr>
        <xdr:cNvPr id="11" name="Ellipse 10">
          <a:extLst>
            <a:ext uri="{FF2B5EF4-FFF2-40B4-BE49-F238E27FC236}">
              <a16:creationId xmlns:a16="http://schemas.microsoft.com/office/drawing/2014/main" id="{C1A17E82-604D-4322-9E58-72AD790CF983}"/>
            </a:ext>
          </a:extLst>
        </xdr:cNvPr>
        <xdr:cNvSpPr/>
      </xdr:nvSpPr>
      <xdr:spPr>
        <a:xfrm>
          <a:off x="2560489" y="3240048"/>
          <a:ext cx="489857" cy="50075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3538</xdr:colOff>
      <xdr:row>7</xdr:row>
      <xdr:rowOff>67235</xdr:rowOff>
    </xdr:from>
    <xdr:to>
      <xdr:col>12</xdr:col>
      <xdr:colOff>498997</xdr:colOff>
      <xdr:row>8</xdr:row>
      <xdr:rowOff>245264</xdr:rowOff>
    </xdr:to>
    <xdr:sp macro="" textlink="">
      <xdr:nvSpPr>
        <xdr:cNvPr id="12" name="Ellipse 11">
          <a:extLst>
            <a:ext uri="{FF2B5EF4-FFF2-40B4-BE49-F238E27FC236}">
              <a16:creationId xmlns:a16="http://schemas.microsoft.com/office/drawing/2014/main" id="{40DB4046-55C8-48C5-8E3C-3A3568737978}"/>
            </a:ext>
          </a:extLst>
        </xdr:cNvPr>
        <xdr:cNvSpPr/>
      </xdr:nvSpPr>
      <xdr:spPr>
        <a:xfrm>
          <a:off x="13436509" y="2772335"/>
          <a:ext cx="495459" cy="49371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7203</xdr:colOff>
      <xdr:row>16</xdr:row>
      <xdr:rowOff>61151</xdr:rowOff>
    </xdr:from>
    <xdr:to>
      <xdr:col>7</xdr:col>
      <xdr:colOff>502663</xdr:colOff>
      <xdr:row>17</xdr:row>
      <xdr:rowOff>243381</xdr:rowOff>
    </xdr:to>
    <xdr:sp macro="" textlink="">
      <xdr:nvSpPr>
        <xdr:cNvPr id="15" name="Ellipse 14">
          <a:extLst>
            <a:ext uri="{FF2B5EF4-FFF2-40B4-BE49-F238E27FC236}">
              <a16:creationId xmlns:a16="http://schemas.microsoft.com/office/drawing/2014/main" id="{8C151234-BDE2-4DF5-9C00-093FF8D15FD8}"/>
            </a:ext>
          </a:extLst>
        </xdr:cNvPr>
        <xdr:cNvSpPr/>
      </xdr:nvSpPr>
      <xdr:spPr>
        <a:xfrm>
          <a:off x="6579453" y="5603510"/>
          <a:ext cx="495460" cy="49774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2064</xdr:colOff>
      <xdr:row>17</xdr:row>
      <xdr:rowOff>238413</xdr:rowOff>
    </xdr:from>
    <xdr:to>
      <xdr:col>12</xdr:col>
      <xdr:colOff>510717</xdr:colOff>
      <xdr:row>19</xdr:row>
      <xdr:rowOff>114816</xdr:rowOff>
    </xdr:to>
    <xdr:sp macro="" textlink="">
      <xdr:nvSpPr>
        <xdr:cNvPr id="16" name="Ellipse 15">
          <a:extLst>
            <a:ext uri="{FF2B5EF4-FFF2-40B4-BE49-F238E27FC236}">
              <a16:creationId xmlns:a16="http://schemas.microsoft.com/office/drawing/2014/main" id="{76D50CBA-FA40-4DC2-B5EE-E763567B558F}"/>
            </a:ext>
          </a:extLst>
        </xdr:cNvPr>
        <xdr:cNvSpPr/>
      </xdr:nvSpPr>
      <xdr:spPr>
        <a:xfrm>
          <a:off x="13435035" y="6100370"/>
          <a:ext cx="508653" cy="50777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47626</xdr:rowOff>
    </xdr:from>
    <xdr:to>
      <xdr:col>2</xdr:col>
      <xdr:colOff>677286</xdr:colOff>
      <xdr:row>0</xdr:row>
      <xdr:rowOff>564697</xdr:rowOff>
    </xdr:to>
    <xdr:grpSp>
      <xdr:nvGrpSpPr>
        <xdr:cNvPr id="7" name="Groupe 6">
          <a:extLst>
            <a:ext uri="{FF2B5EF4-FFF2-40B4-BE49-F238E27FC236}">
              <a16:creationId xmlns:a16="http://schemas.microsoft.com/office/drawing/2014/main" id="{0801FB9A-59C2-4E1B-9E3F-2EF57569EB62}"/>
            </a:ext>
          </a:extLst>
        </xdr:cNvPr>
        <xdr:cNvGrpSpPr/>
      </xdr:nvGrpSpPr>
      <xdr:grpSpPr>
        <a:xfrm>
          <a:off x="2846294" y="47626"/>
          <a:ext cx="2683139" cy="517071"/>
          <a:chOff x="1156608" y="20411"/>
          <a:chExt cx="2677536" cy="517071"/>
        </a:xfrm>
      </xdr:grpSpPr>
      <xdr:sp macro="" textlink="">
        <xdr:nvSpPr>
          <xdr:cNvPr id="17" name="Ellipse 16">
            <a:extLst>
              <a:ext uri="{FF2B5EF4-FFF2-40B4-BE49-F238E27FC236}">
                <a16:creationId xmlns:a16="http://schemas.microsoft.com/office/drawing/2014/main" id="{7A3396B6-D200-4165-AAD6-4A90649808F6}"/>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8" name="Ellipse 17">
            <a:extLst>
              <a:ext uri="{FF2B5EF4-FFF2-40B4-BE49-F238E27FC236}">
                <a16:creationId xmlns:a16="http://schemas.microsoft.com/office/drawing/2014/main" id="{E3A15EFA-0E67-4E53-95A4-E9B4DFD86582}"/>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3" name="ZoneTexte 2">
            <a:extLst>
              <a:ext uri="{FF2B5EF4-FFF2-40B4-BE49-F238E27FC236}">
                <a16:creationId xmlns:a16="http://schemas.microsoft.com/office/drawing/2014/main" id="{AEE04352-4649-4F40-9E17-C338A2F6EABD}"/>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9" name="ZoneTexte 18">
            <a:extLst>
              <a:ext uri="{FF2B5EF4-FFF2-40B4-BE49-F238E27FC236}">
                <a16:creationId xmlns:a16="http://schemas.microsoft.com/office/drawing/2014/main" id="{6253F36A-36AC-4B0F-BF49-6C9002262EA3}"/>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19049</xdr:colOff>
      <xdr:row>27</xdr:row>
      <xdr:rowOff>146956</xdr:rowOff>
    </xdr:from>
    <xdr:to>
      <xdr:col>17</xdr:col>
      <xdr:colOff>46071</xdr:colOff>
      <xdr:row>46</xdr:row>
      <xdr:rowOff>95250</xdr:rowOff>
    </xdr:to>
    <xdr:grpSp>
      <xdr:nvGrpSpPr>
        <xdr:cNvPr id="20" name="Groupe 19">
          <a:extLst>
            <a:ext uri="{FF2B5EF4-FFF2-40B4-BE49-F238E27FC236}">
              <a16:creationId xmlns:a16="http://schemas.microsoft.com/office/drawing/2014/main" id="{70C28322-CE64-413C-B24F-46115687FD86}"/>
            </a:ext>
          </a:extLst>
        </xdr:cNvPr>
        <xdr:cNvGrpSpPr/>
      </xdr:nvGrpSpPr>
      <xdr:grpSpPr>
        <a:xfrm>
          <a:off x="16323608" y="9111662"/>
          <a:ext cx="4935198" cy="4632353"/>
          <a:chOff x="18635382" y="9424146"/>
          <a:chExt cx="5319226" cy="5031441"/>
        </a:xfrm>
      </xdr:grpSpPr>
      <xdr:grpSp>
        <xdr:nvGrpSpPr>
          <xdr:cNvPr id="21" name="Groupe 20">
            <a:extLst>
              <a:ext uri="{FF2B5EF4-FFF2-40B4-BE49-F238E27FC236}">
                <a16:creationId xmlns:a16="http://schemas.microsoft.com/office/drawing/2014/main" id="{37BAADD8-B36E-4753-B860-ACFE8F0F3194}"/>
              </a:ext>
            </a:extLst>
          </xdr:cNvPr>
          <xdr:cNvGrpSpPr/>
        </xdr:nvGrpSpPr>
        <xdr:grpSpPr>
          <a:xfrm>
            <a:off x="18635382" y="9424146"/>
            <a:ext cx="5319226" cy="5031441"/>
            <a:chOff x="18635382" y="9424146"/>
            <a:chExt cx="5319226" cy="5031441"/>
          </a:xfrm>
        </xdr:grpSpPr>
        <xdr:sp macro="" textlink="">
          <xdr:nvSpPr>
            <xdr:cNvPr id="23" name="Rectangle : coins arrondis 22">
              <a:extLst>
                <a:ext uri="{FF2B5EF4-FFF2-40B4-BE49-F238E27FC236}">
                  <a16:creationId xmlns:a16="http://schemas.microsoft.com/office/drawing/2014/main" id="{9ED5C47D-0E69-484D-8A46-A1EFD162E680}"/>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4" name="Groupe 23">
              <a:extLst>
                <a:ext uri="{FF2B5EF4-FFF2-40B4-BE49-F238E27FC236}">
                  <a16:creationId xmlns:a16="http://schemas.microsoft.com/office/drawing/2014/main" id="{283A6D4B-C5FD-412A-8B94-16BF995B69CD}"/>
                </a:ext>
              </a:extLst>
            </xdr:cNvPr>
            <xdr:cNvGrpSpPr/>
          </xdr:nvGrpSpPr>
          <xdr:grpSpPr>
            <a:xfrm>
              <a:off x="18720133" y="9488680"/>
              <a:ext cx="5234475" cy="4602831"/>
              <a:chOff x="18126221" y="9410239"/>
              <a:chExt cx="5234475" cy="4602831"/>
            </a:xfrm>
          </xdr:grpSpPr>
          <xdr:graphicFrame macro="">
            <xdr:nvGraphicFramePr>
              <xdr:cNvPr id="25" name="Graphique 24">
                <a:extLst>
                  <a:ext uri="{FF2B5EF4-FFF2-40B4-BE49-F238E27FC236}">
                    <a16:creationId xmlns:a16="http://schemas.microsoft.com/office/drawing/2014/main" id="{6A349546-92E0-4A28-88D6-3F40C92D8433}"/>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6" name="Graphique 25">
                <a:extLst>
                  <a:ext uri="{FF2B5EF4-FFF2-40B4-BE49-F238E27FC236}">
                    <a16:creationId xmlns:a16="http://schemas.microsoft.com/office/drawing/2014/main" id="{315E7FEE-7649-4BF2-ABB8-1AD93CD2A3DB}"/>
                  </a:ext>
                </a:extLst>
              </xdr:cNvPr>
              <xdr:cNvGraphicFramePr/>
            </xdr:nvGraphicFramePr>
            <xdr:xfrm>
              <a:off x="20577851" y="9410239"/>
              <a:ext cx="2782845" cy="4202202"/>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7" name="Groupe 26">
                <a:extLst>
                  <a:ext uri="{FF2B5EF4-FFF2-40B4-BE49-F238E27FC236}">
                    <a16:creationId xmlns:a16="http://schemas.microsoft.com/office/drawing/2014/main" id="{459DA26A-58F3-4FBD-AF74-27C83B329670}"/>
                  </a:ext>
                </a:extLst>
              </xdr:cNvPr>
              <xdr:cNvGrpSpPr/>
            </xdr:nvGrpSpPr>
            <xdr:grpSpPr>
              <a:xfrm>
                <a:off x="19772054" y="13230298"/>
                <a:ext cx="2575890" cy="777055"/>
                <a:chOff x="20540874" y="13124387"/>
                <a:chExt cx="2592456" cy="779498"/>
              </a:xfrm>
            </xdr:grpSpPr>
            <xdr:sp macro="" textlink="$J$16">
              <xdr:nvSpPr>
                <xdr:cNvPr id="41" name="Rectangle : coins arrondis 40">
                  <a:extLst>
                    <a:ext uri="{FF2B5EF4-FFF2-40B4-BE49-F238E27FC236}">
                      <a16:creationId xmlns:a16="http://schemas.microsoft.com/office/drawing/2014/main" id="{4350BD9C-3BE5-41B6-A923-6F7985C4FC77}"/>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1D13C89-FBDA-48DD-9694-8D76CA6AB10A}" type="TxLink">
                    <a:rPr lang="en-US" sz="1400" b="1" i="0" u="none" strike="noStrike">
                      <a:solidFill>
                        <a:schemeClr val="bg1"/>
                      </a:solidFill>
                      <a:latin typeface="Book Antiqua"/>
                    </a:rPr>
                    <a:pPr algn="ctr"/>
                    <a:t>4 h et 28 mn</a:t>
                  </a:fld>
                  <a:endParaRPr lang="fr-FR" sz="1400">
                    <a:solidFill>
                      <a:schemeClr val="bg1"/>
                    </a:solidFill>
                  </a:endParaRPr>
                </a:p>
              </xdr:txBody>
            </xdr:sp>
            <xdr:sp macro="" textlink="">
              <xdr:nvSpPr>
                <xdr:cNvPr id="42" name="Rectangle 41">
                  <a:extLst>
                    <a:ext uri="{FF2B5EF4-FFF2-40B4-BE49-F238E27FC236}">
                      <a16:creationId xmlns:a16="http://schemas.microsoft.com/office/drawing/2014/main" id="{C91D58BA-E7D8-489E-A6AA-A3FCBD0654B4}"/>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8" name="Groupe 27">
                <a:extLst>
                  <a:ext uri="{FF2B5EF4-FFF2-40B4-BE49-F238E27FC236}">
                    <a16:creationId xmlns:a16="http://schemas.microsoft.com/office/drawing/2014/main" id="{95C7BFF7-8393-4421-8585-71C3B939A63F}"/>
                  </a:ext>
                </a:extLst>
              </xdr:cNvPr>
              <xdr:cNvGrpSpPr/>
            </xdr:nvGrpSpPr>
            <xdr:grpSpPr>
              <a:xfrm>
                <a:off x="18126221" y="10164186"/>
                <a:ext cx="1437373" cy="3848884"/>
                <a:chOff x="21115755" y="9612661"/>
                <a:chExt cx="1446142" cy="3861552"/>
              </a:xfrm>
            </xdr:grpSpPr>
            <xdr:grpSp>
              <xdr:nvGrpSpPr>
                <xdr:cNvPr id="29" name="Groupe 28">
                  <a:extLst>
                    <a:ext uri="{FF2B5EF4-FFF2-40B4-BE49-F238E27FC236}">
                      <a16:creationId xmlns:a16="http://schemas.microsoft.com/office/drawing/2014/main" id="{FF88CCE1-9BC0-4674-ABEA-1B54D206E496}"/>
                    </a:ext>
                  </a:extLst>
                </xdr:cNvPr>
                <xdr:cNvGrpSpPr/>
              </xdr:nvGrpSpPr>
              <xdr:grpSpPr>
                <a:xfrm rot="5400000">
                  <a:off x="21292935" y="9461362"/>
                  <a:ext cx="1063620" cy="1366218"/>
                  <a:chOff x="21097375" y="9615841"/>
                  <a:chExt cx="1408044" cy="1134646"/>
                </a:xfrm>
              </xdr:grpSpPr>
              <xdr:sp macro="" textlink="Capacité_carburant_Max_06">
                <xdr:nvSpPr>
                  <xdr:cNvPr id="39" name="Flèche : pentagone 38">
                    <a:extLst>
                      <a:ext uri="{FF2B5EF4-FFF2-40B4-BE49-F238E27FC236}">
                        <a16:creationId xmlns:a16="http://schemas.microsoft.com/office/drawing/2014/main" id="{5CA9C9EC-82D4-4806-9B1C-40FED1C02269}"/>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79A03DD5-E78D-42F6-A946-2174CA6F98C1}" type="TxLink">
                      <a:rPr lang="en-US" sz="1400" b="1" i="0" u="none" strike="noStrike">
                        <a:solidFill>
                          <a:srgbClr val="000000"/>
                        </a:solidFill>
                        <a:effectLst/>
                        <a:latin typeface="Book Antiqua"/>
                      </a:rPr>
                      <a:pPr algn="ctr"/>
                      <a:t>108,0 L</a:t>
                    </a:fld>
                    <a:endParaRPr lang="fr-FR" sz="1400" b="1">
                      <a:solidFill>
                        <a:srgbClr val="002060"/>
                      </a:solidFill>
                      <a:effectLst/>
                    </a:endParaRPr>
                  </a:p>
                </xdr:txBody>
              </xdr:sp>
              <xdr:sp macro="" textlink="">
                <xdr:nvSpPr>
                  <xdr:cNvPr id="40" name="ZoneTexte 39">
                    <a:extLst>
                      <a:ext uri="{FF2B5EF4-FFF2-40B4-BE49-F238E27FC236}">
                        <a16:creationId xmlns:a16="http://schemas.microsoft.com/office/drawing/2014/main" id="{AEBFF7E5-0894-4A6A-A712-AFECA29BCDFA}"/>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0" name="Groupe 29">
                  <a:extLst>
                    <a:ext uri="{FF2B5EF4-FFF2-40B4-BE49-F238E27FC236}">
                      <a16:creationId xmlns:a16="http://schemas.microsoft.com/office/drawing/2014/main" id="{63BF5A62-5CA0-40C0-9EF3-472D3EC7994F}"/>
                    </a:ext>
                  </a:extLst>
                </xdr:cNvPr>
                <xdr:cNvGrpSpPr/>
              </xdr:nvGrpSpPr>
              <xdr:grpSpPr>
                <a:xfrm rot="5400000">
                  <a:off x="21137289" y="10185154"/>
                  <a:ext cx="1408044" cy="1441173"/>
                  <a:chOff x="21128934" y="10031614"/>
                  <a:chExt cx="1408044" cy="715464"/>
                </a:xfrm>
              </xdr:grpSpPr>
              <xdr:sp macro="" textlink="Carburant_utilisable_06">
                <xdr:nvSpPr>
                  <xdr:cNvPr id="37" name="Flèche : chevron 36">
                    <a:extLst>
                      <a:ext uri="{FF2B5EF4-FFF2-40B4-BE49-F238E27FC236}">
                        <a16:creationId xmlns:a16="http://schemas.microsoft.com/office/drawing/2014/main" id="{A7D3EE27-64C2-4F6B-AFEF-C984C18C48CD}"/>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9E23D664-FEFB-41CD-9BBE-F6C2F85E2803}" type="TxLink">
                      <a:rPr lang="en-US" sz="1400" b="1" i="0" u="none" strike="noStrike">
                        <a:solidFill>
                          <a:srgbClr val="000000"/>
                        </a:solidFill>
                        <a:effectLst/>
                        <a:latin typeface="Book Antiqua"/>
                      </a:rPr>
                      <a:pPr algn="ctr"/>
                      <a:t>107,0 L</a:t>
                    </a:fld>
                    <a:endParaRPr lang="fr-FR" sz="1400" b="1">
                      <a:solidFill>
                        <a:schemeClr val="accent6">
                          <a:lumMod val="50000"/>
                        </a:schemeClr>
                      </a:solidFill>
                      <a:effectLst/>
                    </a:endParaRPr>
                  </a:p>
                </xdr:txBody>
              </xdr:sp>
              <xdr:sp macro="" textlink="">
                <xdr:nvSpPr>
                  <xdr:cNvPr id="38" name="ZoneTexte 37">
                    <a:extLst>
                      <a:ext uri="{FF2B5EF4-FFF2-40B4-BE49-F238E27FC236}">
                        <a16:creationId xmlns:a16="http://schemas.microsoft.com/office/drawing/2014/main" id="{E737325B-838C-4E37-A014-7A02093F6A5F}"/>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1" name="Groupe 30">
                  <a:extLst>
                    <a:ext uri="{FF2B5EF4-FFF2-40B4-BE49-F238E27FC236}">
                      <a16:creationId xmlns:a16="http://schemas.microsoft.com/office/drawing/2014/main" id="{A00689F6-ACB1-4C3E-85F4-16552ACA48B1}"/>
                    </a:ext>
                  </a:extLst>
                </xdr:cNvPr>
                <xdr:cNvGrpSpPr/>
              </xdr:nvGrpSpPr>
              <xdr:grpSpPr>
                <a:xfrm rot="5400000">
                  <a:off x="21137289" y="11118637"/>
                  <a:ext cx="1408044" cy="1441173"/>
                  <a:chOff x="21128934" y="10031614"/>
                  <a:chExt cx="1408044" cy="715464"/>
                </a:xfrm>
              </xdr:grpSpPr>
              <xdr:sp macro="" textlink="$S$20">
                <xdr:nvSpPr>
                  <xdr:cNvPr id="35" name="Flèche : chevron 34">
                    <a:extLst>
                      <a:ext uri="{FF2B5EF4-FFF2-40B4-BE49-F238E27FC236}">
                        <a16:creationId xmlns:a16="http://schemas.microsoft.com/office/drawing/2014/main" id="{7825A2B3-D35A-4387-8CE3-CB47857389DC}"/>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85E2CEA2-86BF-45A4-887A-058500356D64}" type="TxLink">
                      <a:rPr lang="en-US" sz="1400" b="1" i="0" u="none" strike="noStrike">
                        <a:solidFill>
                          <a:srgbClr val="C00000"/>
                        </a:solidFill>
                        <a:effectLst/>
                        <a:latin typeface="Book Antiqua"/>
                      </a:rPr>
                      <a:pPr algn="ctr"/>
                      <a:t>1 L</a:t>
                    </a:fld>
                    <a:endParaRPr lang="fr-FR" sz="1400" b="1">
                      <a:solidFill>
                        <a:srgbClr val="C00000"/>
                      </a:solidFill>
                      <a:effectLst/>
                    </a:endParaRPr>
                  </a:p>
                </xdr:txBody>
              </xdr:sp>
              <xdr:sp macro="" textlink="">
                <xdr:nvSpPr>
                  <xdr:cNvPr id="36" name="ZoneTexte 35">
                    <a:extLst>
                      <a:ext uri="{FF2B5EF4-FFF2-40B4-BE49-F238E27FC236}">
                        <a16:creationId xmlns:a16="http://schemas.microsoft.com/office/drawing/2014/main" id="{B7DF3F34-4851-4793-ABA8-EE16CFC5B1BA}"/>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2" name="Groupe 31">
                  <a:extLst>
                    <a:ext uri="{FF2B5EF4-FFF2-40B4-BE49-F238E27FC236}">
                      <a16:creationId xmlns:a16="http://schemas.microsoft.com/office/drawing/2014/main" id="{BCF7F37B-FC97-4084-8787-8D79F3279BE3}"/>
                    </a:ext>
                  </a:extLst>
                </xdr:cNvPr>
                <xdr:cNvGrpSpPr/>
              </xdr:nvGrpSpPr>
              <xdr:grpSpPr>
                <a:xfrm rot="5400000">
                  <a:off x="21132320" y="12049604"/>
                  <a:ext cx="1408044" cy="1441173"/>
                  <a:chOff x="21128935" y="10031614"/>
                  <a:chExt cx="1408044" cy="715464"/>
                </a:xfrm>
              </xdr:grpSpPr>
              <xdr:sp macro="" textlink="Carburant_Bloc_06">
                <xdr:nvSpPr>
                  <xdr:cNvPr id="33" name="Flèche : chevron 42">
                    <a:extLst>
                      <a:ext uri="{FF2B5EF4-FFF2-40B4-BE49-F238E27FC236}">
                        <a16:creationId xmlns:a16="http://schemas.microsoft.com/office/drawing/2014/main" id="{7C882D97-DE62-4324-86FE-F1DF3FDD36EB}"/>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7C9D3E7-0E21-4E00-9E04-82456A5D07DE}" type="TxLink">
                      <a:rPr lang="en-US" sz="1400" b="1" i="0" u="none" strike="noStrike">
                        <a:solidFill>
                          <a:srgbClr val="FFFFFF"/>
                        </a:solidFill>
                        <a:effectLst/>
                        <a:latin typeface="Book Antiqua"/>
                      </a:rPr>
                      <a:pPr algn="ctr"/>
                      <a:t>68,0 L</a:t>
                    </a:fld>
                    <a:endParaRPr lang="fr-FR" sz="1400" b="1">
                      <a:solidFill>
                        <a:srgbClr val="C00000"/>
                      </a:solidFill>
                      <a:effectLst/>
                    </a:endParaRPr>
                  </a:p>
                </xdr:txBody>
              </xdr:sp>
              <xdr:sp macro="" textlink="">
                <xdr:nvSpPr>
                  <xdr:cNvPr id="34" name="ZoneTexte 33">
                    <a:extLst>
                      <a:ext uri="{FF2B5EF4-FFF2-40B4-BE49-F238E27FC236}">
                        <a16:creationId xmlns:a16="http://schemas.microsoft.com/office/drawing/2014/main" id="{6BFBE960-6021-4440-9F86-C5CF75EA6C6A}"/>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22" name="Rectangle : coins arrondis 21">
            <a:extLst>
              <a:ext uri="{FF2B5EF4-FFF2-40B4-BE49-F238E27FC236}">
                <a16:creationId xmlns:a16="http://schemas.microsoft.com/office/drawing/2014/main" id="{9B34FF66-C993-47D9-A9FE-EDFA66291D2C}"/>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85725</xdr:colOff>
      <xdr:row>0</xdr:row>
      <xdr:rowOff>0</xdr:rowOff>
    </xdr:from>
    <xdr:to>
      <xdr:col>0</xdr:col>
      <xdr:colOff>2748545</xdr:colOff>
      <xdr:row>54</xdr:row>
      <xdr:rowOff>235322</xdr:rowOff>
    </xdr:to>
    <xdr:grpSp>
      <xdr:nvGrpSpPr>
        <xdr:cNvPr id="43" name="Groupe 42">
          <a:extLst>
            <a:ext uri="{FF2B5EF4-FFF2-40B4-BE49-F238E27FC236}">
              <a16:creationId xmlns:a16="http://schemas.microsoft.com/office/drawing/2014/main" id="{60F5359D-193D-425D-8A6B-AC9DEB9135D7}"/>
            </a:ext>
          </a:extLst>
        </xdr:cNvPr>
        <xdr:cNvGrpSpPr/>
      </xdr:nvGrpSpPr>
      <xdr:grpSpPr>
        <a:xfrm>
          <a:off x="85725" y="0"/>
          <a:ext cx="2662820" cy="15777881"/>
          <a:chOff x="91967" y="0"/>
          <a:chExt cx="2662820" cy="16039417"/>
        </a:xfrm>
      </xdr:grpSpPr>
      <xdr:grpSp>
        <xdr:nvGrpSpPr>
          <xdr:cNvPr id="44" name="Groupe 43">
            <a:extLst>
              <a:ext uri="{FF2B5EF4-FFF2-40B4-BE49-F238E27FC236}">
                <a16:creationId xmlns:a16="http://schemas.microsoft.com/office/drawing/2014/main" id="{9F253725-4D33-4A81-AE5A-DADE1D6E2338}"/>
              </a:ext>
            </a:extLst>
          </xdr:cNvPr>
          <xdr:cNvGrpSpPr/>
        </xdr:nvGrpSpPr>
        <xdr:grpSpPr>
          <a:xfrm>
            <a:off x="102577" y="0"/>
            <a:ext cx="2652210" cy="16039417"/>
            <a:chOff x="0" y="0"/>
            <a:chExt cx="2652210" cy="16436884"/>
          </a:xfrm>
        </xdr:grpSpPr>
        <xdr:grpSp>
          <xdr:nvGrpSpPr>
            <xdr:cNvPr id="46" name="Groupe 45">
              <a:extLst>
                <a:ext uri="{FF2B5EF4-FFF2-40B4-BE49-F238E27FC236}">
                  <a16:creationId xmlns:a16="http://schemas.microsoft.com/office/drawing/2014/main" id="{9EE39881-49B5-4C3F-9CA4-AD68AF409D05}"/>
                </a:ext>
              </a:extLst>
            </xdr:cNvPr>
            <xdr:cNvGrpSpPr/>
          </xdr:nvGrpSpPr>
          <xdr:grpSpPr>
            <a:xfrm>
              <a:off x="0" y="0"/>
              <a:ext cx="2652210" cy="16436884"/>
              <a:chOff x="0" y="0"/>
              <a:chExt cx="2652210" cy="16433175"/>
            </a:xfrm>
          </xdr:grpSpPr>
          <xdr:grpSp>
            <xdr:nvGrpSpPr>
              <xdr:cNvPr id="48" name="Groupe 47">
                <a:extLst>
                  <a:ext uri="{FF2B5EF4-FFF2-40B4-BE49-F238E27FC236}">
                    <a16:creationId xmlns:a16="http://schemas.microsoft.com/office/drawing/2014/main" id="{5A5D699B-7BED-49B4-B8A1-E1B0DBDC30DF}"/>
                  </a:ext>
                </a:extLst>
              </xdr:cNvPr>
              <xdr:cNvGrpSpPr/>
            </xdr:nvGrpSpPr>
            <xdr:grpSpPr>
              <a:xfrm>
                <a:off x="0" y="0"/>
                <a:ext cx="2652210" cy="16433175"/>
                <a:chOff x="0" y="0"/>
                <a:chExt cx="2652210" cy="16291246"/>
              </a:xfrm>
            </xdr:grpSpPr>
            <xdr:pic>
              <xdr:nvPicPr>
                <xdr:cNvPr id="50" name="Image 49">
                  <a:extLst>
                    <a:ext uri="{FF2B5EF4-FFF2-40B4-BE49-F238E27FC236}">
                      <a16:creationId xmlns:a16="http://schemas.microsoft.com/office/drawing/2014/main" id="{527D04B9-DC23-4C3C-86AE-D9F7BE5F068D}"/>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291246"/>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1" name="Groupe 50">
                  <a:extLst>
                    <a:ext uri="{FF2B5EF4-FFF2-40B4-BE49-F238E27FC236}">
                      <a16:creationId xmlns:a16="http://schemas.microsoft.com/office/drawing/2014/main" id="{B4B15154-F22F-42A5-81DA-1B938F060C60}"/>
                    </a:ext>
                  </a:extLst>
                </xdr:cNvPr>
                <xdr:cNvGrpSpPr/>
              </xdr:nvGrpSpPr>
              <xdr:grpSpPr>
                <a:xfrm>
                  <a:off x="8283" y="2949975"/>
                  <a:ext cx="2637419" cy="1073362"/>
                  <a:chOff x="8283" y="2972387"/>
                  <a:chExt cx="2637419" cy="1090171"/>
                </a:xfrm>
              </xdr:grpSpPr>
              <xdr:sp macro="" textlink="">
                <xdr:nvSpPr>
                  <xdr:cNvPr id="65" name="Ellipse 64">
                    <a:extLst>
                      <a:ext uri="{FF2B5EF4-FFF2-40B4-BE49-F238E27FC236}">
                        <a16:creationId xmlns:a16="http://schemas.microsoft.com/office/drawing/2014/main" id="{8BBA18FB-A1CA-41AD-AF47-200F31139100}"/>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6" name="ZoneTexte 65">
                    <a:extLst>
                      <a:ext uri="{FF2B5EF4-FFF2-40B4-BE49-F238E27FC236}">
                        <a16:creationId xmlns:a16="http://schemas.microsoft.com/office/drawing/2014/main" id="{1E5A0A05-9221-4529-95DF-EA70F2597347}"/>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2" name="Groupe 51">
                  <a:extLst>
                    <a:ext uri="{FF2B5EF4-FFF2-40B4-BE49-F238E27FC236}">
                      <a16:creationId xmlns:a16="http://schemas.microsoft.com/office/drawing/2014/main" id="{7C7536BF-A0C1-4803-839E-123806F6A1AA}"/>
                    </a:ext>
                  </a:extLst>
                </xdr:cNvPr>
                <xdr:cNvGrpSpPr/>
              </xdr:nvGrpSpPr>
              <xdr:grpSpPr>
                <a:xfrm>
                  <a:off x="1775" y="4904976"/>
                  <a:ext cx="2650435" cy="1365994"/>
                  <a:chOff x="1775" y="4956803"/>
                  <a:chExt cx="2650435" cy="1382803"/>
                </a:xfrm>
              </xdr:grpSpPr>
              <xdr:sp macro="" textlink="">
                <xdr:nvSpPr>
                  <xdr:cNvPr id="63" name="Ellipse 62">
                    <a:extLst>
                      <a:ext uri="{FF2B5EF4-FFF2-40B4-BE49-F238E27FC236}">
                        <a16:creationId xmlns:a16="http://schemas.microsoft.com/office/drawing/2014/main" id="{CB63550F-91CE-48CB-8C66-BB4B219622C8}"/>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4" name="ZoneTexte 63">
                    <a:extLst>
                      <a:ext uri="{FF2B5EF4-FFF2-40B4-BE49-F238E27FC236}">
                        <a16:creationId xmlns:a16="http://schemas.microsoft.com/office/drawing/2014/main" id="{7BC35168-EF3E-4CA3-B22A-56A5816D83E5}"/>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24840D72-653C-4BDD-8A57-120E86AF510D}"/>
                    </a:ext>
                  </a:extLst>
                </xdr:cNvPr>
                <xdr:cNvGrpSpPr/>
              </xdr:nvGrpSpPr>
              <xdr:grpSpPr>
                <a:xfrm>
                  <a:off x="1775" y="6654494"/>
                  <a:ext cx="2650435" cy="1361792"/>
                  <a:chOff x="1775" y="6727332"/>
                  <a:chExt cx="2650435" cy="1382803"/>
                </a:xfrm>
              </xdr:grpSpPr>
              <xdr:sp macro="" textlink="">
                <xdr:nvSpPr>
                  <xdr:cNvPr id="61" name="Ellipse 60">
                    <a:extLst>
                      <a:ext uri="{FF2B5EF4-FFF2-40B4-BE49-F238E27FC236}">
                        <a16:creationId xmlns:a16="http://schemas.microsoft.com/office/drawing/2014/main" id="{B4122190-FFC6-4133-953C-4B5E52690434}"/>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2" name="ZoneTexte 61">
                    <a:extLst>
                      <a:ext uri="{FF2B5EF4-FFF2-40B4-BE49-F238E27FC236}">
                        <a16:creationId xmlns:a16="http://schemas.microsoft.com/office/drawing/2014/main" id="{3C3F60F7-4DBF-4954-948A-5E87B0A089EF}"/>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4" name="Groupe 53">
                  <a:extLst>
                    <a:ext uri="{FF2B5EF4-FFF2-40B4-BE49-F238E27FC236}">
                      <a16:creationId xmlns:a16="http://schemas.microsoft.com/office/drawing/2014/main" id="{D1C41D00-DCB6-4E5C-8C79-20653EAC3DFA}"/>
                    </a:ext>
                  </a:extLst>
                </xdr:cNvPr>
                <xdr:cNvGrpSpPr/>
              </xdr:nvGrpSpPr>
              <xdr:grpSpPr>
                <a:xfrm>
                  <a:off x="1775" y="8354988"/>
                  <a:ext cx="2650435" cy="1253934"/>
                  <a:chOff x="1775" y="8453039"/>
                  <a:chExt cx="2650435" cy="1270743"/>
                </a:xfrm>
              </xdr:grpSpPr>
              <xdr:sp macro="" textlink="">
                <xdr:nvSpPr>
                  <xdr:cNvPr id="59" name="Ellipse 58">
                    <a:extLst>
                      <a:ext uri="{FF2B5EF4-FFF2-40B4-BE49-F238E27FC236}">
                        <a16:creationId xmlns:a16="http://schemas.microsoft.com/office/drawing/2014/main" id="{ACCA9815-A1E3-4C06-8889-847EFC9C6887}"/>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0" name="ZoneTexte 59">
                    <a:extLst>
                      <a:ext uri="{FF2B5EF4-FFF2-40B4-BE49-F238E27FC236}">
                        <a16:creationId xmlns:a16="http://schemas.microsoft.com/office/drawing/2014/main" id="{EAB6A2F1-DA6C-4A95-81B3-AED577F4AEA1}"/>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5" name="Groupe 54">
                  <a:extLst>
                    <a:ext uri="{FF2B5EF4-FFF2-40B4-BE49-F238E27FC236}">
                      <a16:creationId xmlns:a16="http://schemas.microsoft.com/office/drawing/2014/main" id="{B3C4BF79-E3AC-4C25-8070-C703088AF445}"/>
                    </a:ext>
                  </a:extLst>
                </xdr:cNvPr>
                <xdr:cNvGrpSpPr/>
              </xdr:nvGrpSpPr>
              <xdr:grpSpPr>
                <a:xfrm>
                  <a:off x="1775" y="9723905"/>
                  <a:ext cx="2650435" cy="2783261"/>
                  <a:chOff x="1775" y="9838765"/>
                  <a:chExt cx="2650435" cy="2734235"/>
                </a:xfrm>
              </xdr:grpSpPr>
              <xdr:sp macro="" textlink="">
                <xdr:nvSpPr>
                  <xdr:cNvPr id="57" name="ZoneTexte 56">
                    <a:extLst>
                      <a:ext uri="{FF2B5EF4-FFF2-40B4-BE49-F238E27FC236}">
                        <a16:creationId xmlns:a16="http://schemas.microsoft.com/office/drawing/2014/main" id="{B213FBED-9095-4254-A08B-9FFD0C005388}"/>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8" name="Image 57">
                    <a:extLst>
                      <a:ext uri="{FF2B5EF4-FFF2-40B4-BE49-F238E27FC236}">
                        <a16:creationId xmlns:a16="http://schemas.microsoft.com/office/drawing/2014/main" id="{5E0319F6-126D-44A8-9BAA-16C2FA50D34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6" name="ZoneTexte 55">
                  <a:extLst>
                    <a:ext uri="{FF2B5EF4-FFF2-40B4-BE49-F238E27FC236}">
                      <a16:creationId xmlns:a16="http://schemas.microsoft.com/office/drawing/2014/main" id="{D9061041-6E9C-4E02-844C-C119AD057560}"/>
                    </a:ext>
                  </a:extLst>
                </xdr:cNvPr>
                <xdr:cNvSpPr txBox="1"/>
              </xdr:nvSpPr>
              <xdr:spPr>
                <a:xfrm>
                  <a:off x="0" y="13210334"/>
                  <a:ext cx="2650435" cy="185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9" name="Image 48">
                <a:extLst>
                  <a:ext uri="{FF2B5EF4-FFF2-40B4-BE49-F238E27FC236}">
                    <a16:creationId xmlns:a16="http://schemas.microsoft.com/office/drawing/2014/main" id="{486C9965-CFB1-49B3-AC55-07EABF8CFF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7" name="Image 46">
              <a:extLst>
                <a:ext uri="{FF2B5EF4-FFF2-40B4-BE49-F238E27FC236}">
                  <a16:creationId xmlns:a16="http://schemas.microsoft.com/office/drawing/2014/main" id="{D364C819-5CE5-49F5-B521-D66686AF83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5" name="ZoneTexte 44">
            <a:extLst>
              <a:ext uri="{FF2B5EF4-FFF2-40B4-BE49-F238E27FC236}">
                <a16:creationId xmlns:a16="http://schemas.microsoft.com/office/drawing/2014/main" id="{F5F61240-43E4-4F3C-84C9-6479E45BF286}"/>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32539</xdr:colOff>
      <xdr:row>13</xdr:row>
      <xdr:rowOff>30173</xdr:rowOff>
    </xdr:from>
    <xdr:to>
      <xdr:col>11</xdr:col>
      <xdr:colOff>0</xdr:colOff>
      <xdr:row>14</xdr:row>
      <xdr:rowOff>277849</xdr:rowOff>
    </xdr:to>
    <xdr:sp macro="" textlink="">
      <xdr:nvSpPr>
        <xdr:cNvPr id="67" name="Bulle narrative : rectangle 66">
          <a:extLst>
            <a:ext uri="{FF2B5EF4-FFF2-40B4-BE49-F238E27FC236}">
              <a16:creationId xmlns:a16="http://schemas.microsoft.com/office/drawing/2014/main" id="{CE906F77-83A1-4679-8ACC-ABC9D4A2A7CA}"/>
            </a:ext>
          </a:extLst>
        </xdr:cNvPr>
        <xdr:cNvSpPr/>
      </xdr:nvSpPr>
      <xdr:spPr>
        <a:xfrm>
          <a:off x="13839648" y="4618738"/>
          <a:ext cx="2071243" cy="562415"/>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0.09898</cdr:x>
      <cdr:y>0.00507</cdr:y>
    </cdr:from>
    <cdr:to>
      <cdr:x>0.97111</cdr:x>
      <cdr:y>0.06368</cdr:y>
    </cdr:to>
    <cdr:sp macro="" textlink="">
      <cdr:nvSpPr>
        <cdr:cNvPr id="8193" name="Text Box 1"/>
        <cdr:cNvSpPr txBox="1">
          <a:spLocks xmlns:a="http://schemas.openxmlformats.org/drawingml/2006/main" noChangeArrowheads="1"/>
        </cdr:cNvSpPr>
      </cdr:nvSpPr>
      <cdr:spPr bwMode="auto">
        <a:xfrm xmlns:a="http://schemas.openxmlformats.org/drawingml/2006/main">
          <a:off x="1174750" y="26372"/>
          <a:ext cx="10350500" cy="304890"/>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DR401 - F-HIGI</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170691</xdr:colOff>
      <xdr:row>22</xdr:row>
      <xdr:rowOff>95811</xdr:rowOff>
    </xdr:from>
    <xdr:to>
      <xdr:col>11</xdr:col>
      <xdr:colOff>81845</xdr:colOff>
      <xdr:row>56</xdr:row>
      <xdr:rowOff>246528</xdr:rowOff>
    </xdr:to>
    <xdr:graphicFrame macro="">
      <xdr:nvGraphicFramePr>
        <xdr:cNvPr id="2" name="Chart 1">
          <a:extLst>
            <a:ext uri="{FF2B5EF4-FFF2-40B4-BE49-F238E27FC236}">
              <a16:creationId xmlns:a16="http://schemas.microsoft.com/office/drawing/2014/main" id="{0BE45A80-C8A8-47A3-9E07-3659EA9A3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1509227</xdr:colOff>
      <xdr:row>25</xdr:row>
      <xdr:rowOff>30788</xdr:rowOff>
    </xdr:from>
    <xdr:to>
      <xdr:col>4</xdr:col>
      <xdr:colOff>609022</xdr:colOff>
      <xdr:row>27</xdr:row>
      <xdr:rowOff>224665</xdr:rowOff>
    </xdr:to>
    <xdr:grpSp>
      <xdr:nvGrpSpPr>
        <xdr:cNvPr id="4" name="Groupe 3">
          <a:extLst>
            <a:ext uri="{FF2B5EF4-FFF2-40B4-BE49-F238E27FC236}">
              <a16:creationId xmlns:a16="http://schemas.microsoft.com/office/drawing/2014/main" id="{E7BBCD76-5CFE-4AAC-9E2B-BF700C3F3ED3}"/>
            </a:ext>
          </a:extLst>
        </xdr:cNvPr>
        <xdr:cNvGrpSpPr/>
      </xdr:nvGrpSpPr>
      <xdr:grpSpPr>
        <a:xfrm>
          <a:off x="4355521" y="8367964"/>
          <a:ext cx="3145119" cy="821407"/>
          <a:chOff x="1297409" y="9113934"/>
          <a:chExt cx="3137945" cy="823445"/>
        </a:xfrm>
      </xdr:grpSpPr>
      <xdr:sp macro="" textlink="">
        <xdr:nvSpPr>
          <xdr:cNvPr id="5" name="Rectangle 4">
            <a:extLst>
              <a:ext uri="{FF2B5EF4-FFF2-40B4-BE49-F238E27FC236}">
                <a16:creationId xmlns:a16="http://schemas.microsoft.com/office/drawing/2014/main" id="{99B1C121-A46A-442B-8923-35DBF4EE7EA0}"/>
              </a:ext>
            </a:extLst>
          </xdr:cNvPr>
          <xdr:cNvSpPr/>
        </xdr:nvSpPr>
        <xdr:spPr>
          <a:xfrm>
            <a:off x="1390700" y="9113934"/>
            <a:ext cx="3044654"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6" name="Rectangle 5">
            <a:extLst>
              <a:ext uri="{FF2B5EF4-FFF2-40B4-BE49-F238E27FC236}">
                <a16:creationId xmlns:a16="http://schemas.microsoft.com/office/drawing/2014/main" id="{932AE38C-1483-49B8-8E07-7A5B275DE077}"/>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Rectangle 6">
            <a:extLst>
              <a:ext uri="{FF2B5EF4-FFF2-40B4-BE49-F238E27FC236}">
                <a16:creationId xmlns:a16="http://schemas.microsoft.com/office/drawing/2014/main" id="{804E203D-D849-4BBD-9A06-4EED4A0A1076}"/>
              </a:ext>
            </a:extLst>
          </xdr:cNvPr>
          <xdr:cNvSpPr/>
        </xdr:nvSpPr>
        <xdr:spPr>
          <a:xfrm rot="2749803" flipH="1">
            <a:off x="1301245" y="9602911"/>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7</xdr:col>
      <xdr:colOff>1246924</xdr:colOff>
      <xdr:row>17</xdr:row>
      <xdr:rowOff>231323</xdr:rowOff>
    </xdr:from>
    <xdr:to>
      <xdr:col>9</xdr:col>
      <xdr:colOff>519511</xdr:colOff>
      <xdr:row>21</xdr:row>
      <xdr:rowOff>157716</xdr:rowOff>
    </xdr:to>
    <xdr:pic>
      <xdr:nvPicPr>
        <xdr:cNvPr id="8" name="Image 7">
          <a:extLst>
            <a:ext uri="{FF2B5EF4-FFF2-40B4-BE49-F238E27FC236}">
              <a16:creationId xmlns:a16="http://schemas.microsoft.com/office/drawing/2014/main" id="{B2549431-7BD8-460A-BCBD-9AB3991B7C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08638" y="6041573"/>
          <a:ext cx="3640480" cy="1178250"/>
        </a:xfrm>
        <a:prstGeom prst="rect">
          <a:avLst/>
        </a:prstGeom>
      </xdr:spPr>
    </xdr:pic>
    <xdr:clientData/>
  </xdr:twoCellAnchor>
  <xdr:twoCellAnchor>
    <xdr:from>
      <xdr:col>1</xdr:col>
      <xdr:colOff>222251</xdr:colOff>
      <xdr:row>13</xdr:row>
      <xdr:rowOff>10583</xdr:rowOff>
    </xdr:from>
    <xdr:to>
      <xdr:col>2</xdr:col>
      <xdr:colOff>709085</xdr:colOff>
      <xdr:row>14</xdr:row>
      <xdr:rowOff>243417</xdr:rowOff>
    </xdr:to>
    <xdr:sp macro="" textlink="$D$21">
      <xdr:nvSpPr>
        <xdr:cNvPr id="9" name="Rectangle : coins arrondis 8">
          <a:extLst>
            <a:ext uri="{FF2B5EF4-FFF2-40B4-BE49-F238E27FC236}">
              <a16:creationId xmlns:a16="http://schemas.microsoft.com/office/drawing/2014/main" id="{533C7B3A-C418-4EF7-9A5B-B4E5DD516ABD}"/>
            </a:ext>
          </a:extLst>
        </xdr:cNvPr>
        <xdr:cNvSpPr/>
      </xdr:nvSpPr>
      <xdr:spPr>
        <a:xfrm>
          <a:off x="222251" y="4592108"/>
          <a:ext cx="24299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82F3B876-2F8F-4F42-A86C-972055C5D1D6}"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28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13</xdr:row>
      <xdr:rowOff>0</xdr:rowOff>
    </xdr:from>
    <xdr:to>
      <xdr:col>2</xdr:col>
      <xdr:colOff>931334</xdr:colOff>
      <xdr:row>13</xdr:row>
      <xdr:rowOff>264588</xdr:rowOff>
    </xdr:to>
    <xdr:sp macro="" textlink="">
      <xdr:nvSpPr>
        <xdr:cNvPr id="10" name="ZoneTexte 9">
          <a:extLst>
            <a:ext uri="{FF2B5EF4-FFF2-40B4-BE49-F238E27FC236}">
              <a16:creationId xmlns:a16="http://schemas.microsoft.com/office/drawing/2014/main" id="{4337ED39-4855-4584-AF7D-DB6FEBA5C491}"/>
            </a:ext>
          </a:extLst>
        </xdr:cNvPr>
        <xdr:cNvSpPr txBox="1"/>
      </xdr:nvSpPr>
      <xdr:spPr>
        <a:xfrm>
          <a:off x="0" y="4581525"/>
          <a:ext cx="28744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18146</xdr:colOff>
      <xdr:row>0</xdr:row>
      <xdr:rowOff>47332</xdr:rowOff>
    </xdr:from>
    <xdr:to>
      <xdr:col>2</xdr:col>
      <xdr:colOff>749861</xdr:colOff>
      <xdr:row>0</xdr:row>
      <xdr:rowOff>564403</xdr:rowOff>
    </xdr:to>
    <xdr:grpSp>
      <xdr:nvGrpSpPr>
        <xdr:cNvPr id="11" name="Groupe 10">
          <a:extLst>
            <a:ext uri="{FF2B5EF4-FFF2-40B4-BE49-F238E27FC236}">
              <a16:creationId xmlns:a16="http://schemas.microsoft.com/office/drawing/2014/main" id="{8884FA9D-214B-4EC0-93EB-C538CDE994FB}"/>
            </a:ext>
          </a:extLst>
        </xdr:cNvPr>
        <xdr:cNvGrpSpPr/>
      </xdr:nvGrpSpPr>
      <xdr:grpSpPr>
        <a:xfrm>
          <a:off x="2864440" y="47332"/>
          <a:ext cx="2670333" cy="517071"/>
          <a:chOff x="1156608" y="20411"/>
          <a:chExt cx="2677536" cy="517071"/>
        </a:xfrm>
      </xdr:grpSpPr>
      <xdr:sp macro="" textlink="">
        <xdr:nvSpPr>
          <xdr:cNvPr id="12" name="Ellipse 11">
            <a:extLst>
              <a:ext uri="{FF2B5EF4-FFF2-40B4-BE49-F238E27FC236}">
                <a16:creationId xmlns:a16="http://schemas.microsoft.com/office/drawing/2014/main" id="{664C8A22-4139-4F67-85E1-50A279BFA4EB}"/>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3" name="Ellipse 12">
            <a:extLst>
              <a:ext uri="{FF2B5EF4-FFF2-40B4-BE49-F238E27FC236}">
                <a16:creationId xmlns:a16="http://schemas.microsoft.com/office/drawing/2014/main" id="{8D3BBEF1-EB92-4881-8C3E-FED8B5EC2E70}"/>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4" name="ZoneTexte 13">
            <a:extLst>
              <a:ext uri="{FF2B5EF4-FFF2-40B4-BE49-F238E27FC236}">
                <a16:creationId xmlns:a16="http://schemas.microsoft.com/office/drawing/2014/main" id="{479FE8F2-89F3-4FAF-BA43-14A6CF1FF54A}"/>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5" name="ZoneTexte 14">
            <a:extLst>
              <a:ext uri="{FF2B5EF4-FFF2-40B4-BE49-F238E27FC236}">
                <a16:creationId xmlns:a16="http://schemas.microsoft.com/office/drawing/2014/main" id="{6D55A2DA-3D10-4899-9FA0-F32D7A4956B2}"/>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556955</xdr:colOff>
      <xdr:row>7</xdr:row>
      <xdr:rowOff>218656</xdr:rowOff>
    </xdr:from>
    <xdr:to>
      <xdr:col>2</xdr:col>
      <xdr:colOff>1046812</xdr:colOff>
      <xdr:row>9</xdr:row>
      <xdr:rowOff>88791</xdr:rowOff>
    </xdr:to>
    <xdr:sp macro="" textlink="">
      <xdr:nvSpPr>
        <xdr:cNvPr id="16" name="Ellipse 15">
          <a:extLst>
            <a:ext uri="{FF2B5EF4-FFF2-40B4-BE49-F238E27FC236}">
              <a16:creationId xmlns:a16="http://schemas.microsoft.com/office/drawing/2014/main" id="{5997C788-C479-4203-B941-6DE046B47081}"/>
            </a:ext>
          </a:extLst>
        </xdr:cNvPr>
        <xdr:cNvSpPr/>
      </xdr:nvSpPr>
      <xdr:spPr>
        <a:xfrm>
          <a:off x="2501369" y="2918501"/>
          <a:ext cx="489857" cy="50075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12151</xdr:colOff>
      <xdr:row>7</xdr:row>
      <xdr:rowOff>72285</xdr:rowOff>
    </xdr:from>
    <xdr:to>
      <xdr:col>12</xdr:col>
      <xdr:colOff>507610</xdr:colOff>
      <xdr:row>8</xdr:row>
      <xdr:rowOff>250315</xdr:rowOff>
    </xdr:to>
    <xdr:sp macro="" textlink="">
      <xdr:nvSpPr>
        <xdr:cNvPr id="17" name="Ellipse 16">
          <a:extLst>
            <a:ext uri="{FF2B5EF4-FFF2-40B4-BE49-F238E27FC236}">
              <a16:creationId xmlns:a16="http://schemas.microsoft.com/office/drawing/2014/main" id="{FACDC803-E209-4BBC-9143-C12C9EAF2468}"/>
            </a:ext>
          </a:extLst>
        </xdr:cNvPr>
        <xdr:cNvSpPr/>
      </xdr:nvSpPr>
      <xdr:spPr>
        <a:xfrm>
          <a:off x="13365010" y="2775004"/>
          <a:ext cx="495459" cy="49354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7203</xdr:colOff>
      <xdr:row>15</xdr:row>
      <xdr:rowOff>68053</xdr:rowOff>
    </xdr:from>
    <xdr:to>
      <xdr:col>7</xdr:col>
      <xdr:colOff>502663</xdr:colOff>
      <xdr:row>16</xdr:row>
      <xdr:rowOff>250282</xdr:rowOff>
    </xdr:to>
    <xdr:sp macro="" textlink="">
      <xdr:nvSpPr>
        <xdr:cNvPr id="18" name="Ellipse 17">
          <a:extLst>
            <a:ext uri="{FF2B5EF4-FFF2-40B4-BE49-F238E27FC236}">
              <a16:creationId xmlns:a16="http://schemas.microsoft.com/office/drawing/2014/main" id="{AF63E9D7-D349-4426-9EEA-A89B03242551}"/>
            </a:ext>
          </a:extLst>
        </xdr:cNvPr>
        <xdr:cNvSpPr/>
      </xdr:nvSpPr>
      <xdr:spPr>
        <a:xfrm>
          <a:off x="6536755" y="5290381"/>
          <a:ext cx="495460" cy="49753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5554</xdr:colOff>
      <xdr:row>17</xdr:row>
      <xdr:rowOff>231560</xdr:rowOff>
    </xdr:from>
    <xdr:to>
      <xdr:col>12</xdr:col>
      <xdr:colOff>514207</xdr:colOff>
      <xdr:row>19</xdr:row>
      <xdr:rowOff>107965</xdr:rowOff>
    </xdr:to>
    <xdr:sp macro="" textlink="">
      <xdr:nvSpPr>
        <xdr:cNvPr id="19" name="Ellipse 18">
          <a:extLst>
            <a:ext uri="{FF2B5EF4-FFF2-40B4-BE49-F238E27FC236}">
              <a16:creationId xmlns:a16="http://schemas.microsoft.com/office/drawing/2014/main" id="{0702348A-CF69-459F-833C-DAF5911EA6F2}"/>
            </a:ext>
          </a:extLst>
        </xdr:cNvPr>
        <xdr:cNvSpPr/>
      </xdr:nvSpPr>
      <xdr:spPr>
        <a:xfrm>
          <a:off x="13358413" y="6089435"/>
          <a:ext cx="508653" cy="50743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11</xdr:col>
      <xdr:colOff>346363</xdr:colOff>
      <xdr:row>27</xdr:row>
      <xdr:rowOff>220403</xdr:rowOff>
    </xdr:from>
    <xdr:to>
      <xdr:col>17</xdr:col>
      <xdr:colOff>133350</xdr:colOff>
      <xdr:row>48</xdr:row>
      <xdr:rowOff>18713</xdr:rowOff>
    </xdr:to>
    <xdr:grpSp>
      <xdr:nvGrpSpPr>
        <xdr:cNvPr id="20" name="Groupe 19">
          <a:extLst>
            <a:ext uri="{FF2B5EF4-FFF2-40B4-BE49-F238E27FC236}">
              <a16:creationId xmlns:a16="http://schemas.microsoft.com/office/drawing/2014/main" id="{C35F0866-C687-41F3-A5B4-D44F1F160013}"/>
            </a:ext>
          </a:extLst>
        </xdr:cNvPr>
        <xdr:cNvGrpSpPr/>
      </xdr:nvGrpSpPr>
      <xdr:grpSpPr>
        <a:xfrm>
          <a:off x="16202687" y="9185109"/>
          <a:ext cx="5076163" cy="4773722"/>
          <a:chOff x="18635382" y="9424146"/>
          <a:chExt cx="5319226" cy="5031441"/>
        </a:xfrm>
      </xdr:grpSpPr>
      <xdr:grpSp>
        <xdr:nvGrpSpPr>
          <xdr:cNvPr id="21" name="Groupe 20">
            <a:extLst>
              <a:ext uri="{FF2B5EF4-FFF2-40B4-BE49-F238E27FC236}">
                <a16:creationId xmlns:a16="http://schemas.microsoft.com/office/drawing/2014/main" id="{A807E6C1-7C51-4ADD-9019-EEBE59BB3EA8}"/>
              </a:ext>
            </a:extLst>
          </xdr:cNvPr>
          <xdr:cNvGrpSpPr/>
        </xdr:nvGrpSpPr>
        <xdr:grpSpPr>
          <a:xfrm>
            <a:off x="18635382" y="9424146"/>
            <a:ext cx="5319226" cy="5031441"/>
            <a:chOff x="18635382" y="9424146"/>
            <a:chExt cx="5319226" cy="5031441"/>
          </a:xfrm>
        </xdr:grpSpPr>
        <xdr:sp macro="" textlink="">
          <xdr:nvSpPr>
            <xdr:cNvPr id="23" name="Rectangle : coins arrondis 22">
              <a:extLst>
                <a:ext uri="{FF2B5EF4-FFF2-40B4-BE49-F238E27FC236}">
                  <a16:creationId xmlns:a16="http://schemas.microsoft.com/office/drawing/2014/main" id="{F277E550-8207-43CB-8D66-257F095FE21B}"/>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4" name="Groupe 23">
              <a:extLst>
                <a:ext uri="{FF2B5EF4-FFF2-40B4-BE49-F238E27FC236}">
                  <a16:creationId xmlns:a16="http://schemas.microsoft.com/office/drawing/2014/main" id="{F50C1D1C-A432-40B4-AA0D-74F40D8042EA}"/>
                </a:ext>
              </a:extLst>
            </xdr:cNvPr>
            <xdr:cNvGrpSpPr/>
          </xdr:nvGrpSpPr>
          <xdr:grpSpPr>
            <a:xfrm>
              <a:off x="18720133" y="9488680"/>
              <a:ext cx="5234475" cy="4602831"/>
              <a:chOff x="18126221" y="9410239"/>
              <a:chExt cx="5234475" cy="4602831"/>
            </a:xfrm>
          </xdr:grpSpPr>
          <xdr:graphicFrame macro="">
            <xdr:nvGraphicFramePr>
              <xdr:cNvPr id="25" name="Graphique 24">
                <a:extLst>
                  <a:ext uri="{FF2B5EF4-FFF2-40B4-BE49-F238E27FC236}">
                    <a16:creationId xmlns:a16="http://schemas.microsoft.com/office/drawing/2014/main" id="{131D5DE7-D862-4AB7-858D-5BE504767F83}"/>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6" name="Graphique 25">
                <a:extLst>
                  <a:ext uri="{FF2B5EF4-FFF2-40B4-BE49-F238E27FC236}">
                    <a16:creationId xmlns:a16="http://schemas.microsoft.com/office/drawing/2014/main" id="{A6F4AF29-F354-467A-8C8A-612BE0A89DD0}"/>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7" name="Groupe 26">
                <a:extLst>
                  <a:ext uri="{FF2B5EF4-FFF2-40B4-BE49-F238E27FC236}">
                    <a16:creationId xmlns:a16="http://schemas.microsoft.com/office/drawing/2014/main" id="{6A7687D9-E217-4D5A-8869-96AEE52ADDD8}"/>
                  </a:ext>
                </a:extLst>
              </xdr:cNvPr>
              <xdr:cNvGrpSpPr/>
            </xdr:nvGrpSpPr>
            <xdr:grpSpPr>
              <a:xfrm>
                <a:off x="19772054" y="13230298"/>
                <a:ext cx="2575890" cy="777055"/>
                <a:chOff x="20540874" y="13124387"/>
                <a:chExt cx="2592456" cy="779498"/>
              </a:xfrm>
            </xdr:grpSpPr>
            <xdr:sp macro="" textlink="$J$15">
              <xdr:nvSpPr>
                <xdr:cNvPr id="41" name="Rectangle : coins arrondis 40">
                  <a:extLst>
                    <a:ext uri="{FF2B5EF4-FFF2-40B4-BE49-F238E27FC236}">
                      <a16:creationId xmlns:a16="http://schemas.microsoft.com/office/drawing/2014/main" id="{08E9BAAB-6582-42BA-BEFF-15B17A693F4C}"/>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6C8F60-1702-46D6-A612-BE9812B32D5F}" type="TxLink">
                    <a:rPr lang="en-US" sz="1600" b="1" i="0" u="none" strike="noStrike">
                      <a:solidFill>
                        <a:schemeClr val="bg1"/>
                      </a:solidFill>
                      <a:latin typeface="Book Antiqua"/>
                    </a:rPr>
                    <a:pPr algn="ctr"/>
                    <a:t>3 h et 33 mn</a:t>
                  </a:fld>
                  <a:endParaRPr lang="fr-FR" sz="1600">
                    <a:solidFill>
                      <a:schemeClr val="bg1"/>
                    </a:solidFill>
                  </a:endParaRPr>
                </a:p>
              </xdr:txBody>
            </xdr:sp>
            <xdr:sp macro="" textlink="">
              <xdr:nvSpPr>
                <xdr:cNvPr id="42" name="Rectangle 41">
                  <a:extLst>
                    <a:ext uri="{FF2B5EF4-FFF2-40B4-BE49-F238E27FC236}">
                      <a16:creationId xmlns:a16="http://schemas.microsoft.com/office/drawing/2014/main" id="{A5D5CAFF-71DB-4731-A07A-1681DB7E592D}"/>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8" name="Groupe 27">
                <a:extLst>
                  <a:ext uri="{FF2B5EF4-FFF2-40B4-BE49-F238E27FC236}">
                    <a16:creationId xmlns:a16="http://schemas.microsoft.com/office/drawing/2014/main" id="{D64F36C1-7F67-409C-8CBF-B9B166DF8FB6}"/>
                  </a:ext>
                </a:extLst>
              </xdr:cNvPr>
              <xdr:cNvGrpSpPr/>
            </xdr:nvGrpSpPr>
            <xdr:grpSpPr>
              <a:xfrm>
                <a:off x="18126221" y="10164186"/>
                <a:ext cx="1437373" cy="3848884"/>
                <a:chOff x="21115755" y="9612661"/>
                <a:chExt cx="1446142" cy="3861552"/>
              </a:xfrm>
            </xdr:grpSpPr>
            <xdr:grpSp>
              <xdr:nvGrpSpPr>
                <xdr:cNvPr id="29" name="Groupe 28">
                  <a:extLst>
                    <a:ext uri="{FF2B5EF4-FFF2-40B4-BE49-F238E27FC236}">
                      <a16:creationId xmlns:a16="http://schemas.microsoft.com/office/drawing/2014/main" id="{9621D63C-8211-4A6E-8552-26BEA3F36B11}"/>
                    </a:ext>
                  </a:extLst>
                </xdr:cNvPr>
                <xdr:cNvGrpSpPr/>
              </xdr:nvGrpSpPr>
              <xdr:grpSpPr>
                <a:xfrm rot="5400000">
                  <a:off x="21292935" y="9461362"/>
                  <a:ext cx="1063620" cy="1366218"/>
                  <a:chOff x="21097375" y="9615841"/>
                  <a:chExt cx="1408044" cy="1134646"/>
                </a:xfrm>
              </xdr:grpSpPr>
              <xdr:sp macro="" textlink="Capacité_carburant_Max_07">
                <xdr:nvSpPr>
                  <xdr:cNvPr id="39" name="Flèche : pentagone 38">
                    <a:extLst>
                      <a:ext uri="{FF2B5EF4-FFF2-40B4-BE49-F238E27FC236}">
                        <a16:creationId xmlns:a16="http://schemas.microsoft.com/office/drawing/2014/main" id="{865912BD-430D-4C3F-A08D-BF85E6851B3F}"/>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41DCDD83-894D-4460-8719-B255DCDD0685}" type="TxLink">
                      <a:rPr lang="en-US" sz="1400" b="1" i="0" u="none" strike="noStrike">
                        <a:solidFill>
                          <a:srgbClr val="000000"/>
                        </a:solidFill>
                        <a:effectLst/>
                        <a:latin typeface="Book Antiqua"/>
                      </a:rPr>
                      <a:pPr algn="ctr"/>
                      <a:t>70,0 L</a:t>
                    </a:fld>
                    <a:endParaRPr lang="fr-FR" sz="1400" b="1">
                      <a:solidFill>
                        <a:srgbClr val="002060"/>
                      </a:solidFill>
                      <a:effectLst/>
                    </a:endParaRPr>
                  </a:p>
                </xdr:txBody>
              </xdr:sp>
              <xdr:sp macro="" textlink="">
                <xdr:nvSpPr>
                  <xdr:cNvPr id="40" name="ZoneTexte 39">
                    <a:extLst>
                      <a:ext uri="{FF2B5EF4-FFF2-40B4-BE49-F238E27FC236}">
                        <a16:creationId xmlns:a16="http://schemas.microsoft.com/office/drawing/2014/main" id="{FCD8AA0A-CAC6-4D02-A724-3622523E859E}"/>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0" name="Groupe 29">
                  <a:extLst>
                    <a:ext uri="{FF2B5EF4-FFF2-40B4-BE49-F238E27FC236}">
                      <a16:creationId xmlns:a16="http://schemas.microsoft.com/office/drawing/2014/main" id="{D7D05D4D-B68D-4F41-8816-6F554B0F68DE}"/>
                    </a:ext>
                  </a:extLst>
                </xdr:cNvPr>
                <xdr:cNvGrpSpPr/>
              </xdr:nvGrpSpPr>
              <xdr:grpSpPr>
                <a:xfrm rot="5400000">
                  <a:off x="21137289" y="10185154"/>
                  <a:ext cx="1408044" cy="1441173"/>
                  <a:chOff x="21128934" y="10031614"/>
                  <a:chExt cx="1408044" cy="715464"/>
                </a:xfrm>
              </xdr:grpSpPr>
              <xdr:sp macro="" textlink="Carburant_utilisable_07">
                <xdr:nvSpPr>
                  <xdr:cNvPr id="37" name="Flèche : chevron 36">
                    <a:extLst>
                      <a:ext uri="{FF2B5EF4-FFF2-40B4-BE49-F238E27FC236}">
                        <a16:creationId xmlns:a16="http://schemas.microsoft.com/office/drawing/2014/main" id="{9452E936-026E-4CCA-B579-D5AC0009F57F}"/>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0D78CDB0-5E13-4B5E-87E5-D9E2D3F24A66}" type="TxLink">
                      <a:rPr lang="en-US" sz="1400" b="1" i="0" u="none" strike="noStrike">
                        <a:solidFill>
                          <a:srgbClr val="000000"/>
                        </a:solidFill>
                        <a:effectLst/>
                        <a:latin typeface="Book Antiqua"/>
                      </a:rPr>
                      <a:pPr algn="ctr"/>
                      <a:t>59,6 L</a:t>
                    </a:fld>
                    <a:endParaRPr lang="fr-FR" sz="1400" b="1">
                      <a:solidFill>
                        <a:schemeClr val="accent6">
                          <a:lumMod val="50000"/>
                        </a:schemeClr>
                      </a:solidFill>
                      <a:effectLst/>
                    </a:endParaRPr>
                  </a:p>
                </xdr:txBody>
              </xdr:sp>
              <xdr:sp macro="" textlink="">
                <xdr:nvSpPr>
                  <xdr:cNvPr id="38" name="ZoneTexte 37">
                    <a:extLst>
                      <a:ext uri="{FF2B5EF4-FFF2-40B4-BE49-F238E27FC236}">
                        <a16:creationId xmlns:a16="http://schemas.microsoft.com/office/drawing/2014/main" id="{A2BCBE1F-39BD-4113-B441-D7C03B91DB49}"/>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1" name="Groupe 30">
                  <a:extLst>
                    <a:ext uri="{FF2B5EF4-FFF2-40B4-BE49-F238E27FC236}">
                      <a16:creationId xmlns:a16="http://schemas.microsoft.com/office/drawing/2014/main" id="{3CE925DD-7BB7-4734-AAFF-03A4EF0CD045}"/>
                    </a:ext>
                  </a:extLst>
                </xdr:cNvPr>
                <xdr:cNvGrpSpPr/>
              </xdr:nvGrpSpPr>
              <xdr:grpSpPr>
                <a:xfrm rot="5400000">
                  <a:off x="21137289" y="11118637"/>
                  <a:ext cx="1408044" cy="1441173"/>
                  <a:chOff x="21128934" y="10031614"/>
                  <a:chExt cx="1408044" cy="715464"/>
                </a:xfrm>
              </xdr:grpSpPr>
              <xdr:sp macro="" textlink="$S$19">
                <xdr:nvSpPr>
                  <xdr:cNvPr id="35" name="Flèche : chevron 34">
                    <a:extLst>
                      <a:ext uri="{FF2B5EF4-FFF2-40B4-BE49-F238E27FC236}">
                        <a16:creationId xmlns:a16="http://schemas.microsoft.com/office/drawing/2014/main" id="{A6CD1DDC-008D-40BF-87FC-070B4A69266A}"/>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E99CB90C-7CC8-40D8-9F0E-B23CFE7201CB}" type="TxLink">
                      <a:rPr lang="en-US" sz="1400" b="1" i="0" u="none" strike="noStrike">
                        <a:solidFill>
                          <a:srgbClr val="C00000"/>
                        </a:solidFill>
                        <a:effectLst/>
                        <a:latin typeface="Book Antiqua"/>
                      </a:rPr>
                      <a:pPr algn="ctr"/>
                      <a:t>10 L</a:t>
                    </a:fld>
                    <a:endParaRPr lang="fr-FR" sz="1400" b="1">
                      <a:solidFill>
                        <a:srgbClr val="C00000"/>
                      </a:solidFill>
                      <a:effectLst/>
                    </a:endParaRPr>
                  </a:p>
                </xdr:txBody>
              </xdr:sp>
              <xdr:sp macro="" textlink="">
                <xdr:nvSpPr>
                  <xdr:cNvPr id="36" name="ZoneTexte 35">
                    <a:extLst>
                      <a:ext uri="{FF2B5EF4-FFF2-40B4-BE49-F238E27FC236}">
                        <a16:creationId xmlns:a16="http://schemas.microsoft.com/office/drawing/2014/main" id="{057AA543-E44B-4775-A31E-4AA05E71BB4E}"/>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2" name="Groupe 31">
                  <a:extLst>
                    <a:ext uri="{FF2B5EF4-FFF2-40B4-BE49-F238E27FC236}">
                      <a16:creationId xmlns:a16="http://schemas.microsoft.com/office/drawing/2014/main" id="{86ED0EF2-ABEF-456E-AC34-78F02E254287}"/>
                    </a:ext>
                  </a:extLst>
                </xdr:cNvPr>
                <xdr:cNvGrpSpPr/>
              </xdr:nvGrpSpPr>
              <xdr:grpSpPr>
                <a:xfrm rot="5400000">
                  <a:off x="21132320" y="12049604"/>
                  <a:ext cx="1408044" cy="1441173"/>
                  <a:chOff x="21128935" y="10031614"/>
                  <a:chExt cx="1408044" cy="715464"/>
                </a:xfrm>
              </xdr:grpSpPr>
              <xdr:sp macro="" textlink="Carburant_Bloc_07">
                <xdr:nvSpPr>
                  <xdr:cNvPr id="33" name="Flèche : chevron 42">
                    <a:extLst>
                      <a:ext uri="{FF2B5EF4-FFF2-40B4-BE49-F238E27FC236}">
                        <a16:creationId xmlns:a16="http://schemas.microsoft.com/office/drawing/2014/main" id="{7000AD5C-E439-45EF-9683-937115C31768}"/>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2E3A753-2BD3-4F9C-B64D-5E033BB2BE41}" type="TxLink">
                      <a:rPr lang="en-US" sz="1400" b="1" i="0" u="none" strike="noStrike">
                        <a:solidFill>
                          <a:srgbClr val="FFFFFF"/>
                        </a:solidFill>
                        <a:effectLst/>
                        <a:latin typeface="Book Antiqua"/>
                      </a:rPr>
                      <a:pPr algn="ctr"/>
                      <a:t>26,6 L</a:t>
                    </a:fld>
                    <a:endParaRPr lang="fr-FR" sz="1400" b="1">
                      <a:solidFill>
                        <a:srgbClr val="C00000"/>
                      </a:solidFill>
                      <a:effectLst/>
                    </a:endParaRPr>
                  </a:p>
                </xdr:txBody>
              </xdr:sp>
              <xdr:sp macro="" textlink="">
                <xdr:nvSpPr>
                  <xdr:cNvPr id="34" name="ZoneTexte 33">
                    <a:extLst>
                      <a:ext uri="{FF2B5EF4-FFF2-40B4-BE49-F238E27FC236}">
                        <a16:creationId xmlns:a16="http://schemas.microsoft.com/office/drawing/2014/main" id="{7C287EFD-9E6F-43C6-96F6-DF4A297CDE38}"/>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22" name="Rectangle : coins arrondis 21">
            <a:extLst>
              <a:ext uri="{FF2B5EF4-FFF2-40B4-BE49-F238E27FC236}">
                <a16:creationId xmlns:a16="http://schemas.microsoft.com/office/drawing/2014/main" id="{BCE8B577-1279-4E79-A27E-20E59ED3C91A}"/>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89647</xdr:colOff>
      <xdr:row>0</xdr:row>
      <xdr:rowOff>9673</xdr:rowOff>
    </xdr:from>
    <xdr:to>
      <xdr:col>0</xdr:col>
      <xdr:colOff>2752467</xdr:colOff>
      <xdr:row>57</xdr:row>
      <xdr:rowOff>0</xdr:rowOff>
    </xdr:to>
    <xdr:grpSp>
      <xdr:nvGrpSpPr>
        <xdr:cNvPr id="43" name="Groupe 42">
          <a:extLst>
            <a:ext uri="{FF2B5EF4-FFF2-40B4-BE49-F238E27FC236}">
              <a16:creationId xmlns:a16="http://schemas.microsoft.com/office/drawing/2014/main" id="{7BE9623E-2E7C-45B6-B267-EC9FFB22690A}"/>
            </a:ext>
          </a:extLst>
        </xdr:cNvPr>
        <xdr:cNvGrpSpPr/>
      </xdr:nvGrpSpPr>
      <xdr:grpSpPr>
        <a:xfrm>
          <a:off x="89647" y="9673"/>
          <a:ext cx="2662820" cy="16070768"/>
          <a:chOff x="91967" y="0"/>
          <a:chExt cx="2662820" cy="16145260"/>
        </a:xfrm>
      </xdr:grpSpPr>
      <xdr:grpSp>
        <xdr:nvGrpSpPr>
          <xdr:cNvPr id="44" name="Groupe 43">
            <a:extLst>
              <a:ext uri="{FF2B5EF4-FFF2-40B4-BE49-F238E27FC236}">
                <a16:creationId xmlns:a16="http://schemas.microsoft.com/office/drawing/2014/main" id="{5049BECD-DF7E-4AFB-A3EF-AA36FE421E67}"/>
              </a:ext>
            </a:extLst>
          </xdr:cNvPr>
          <xdr:cNvGrpSpPr/>
        </xdr:nvGrpSpPr>
        <xdr:grpSpPr>
          <a:xfrm>
            <a:off x="102577" y="0"/>
            <a:ext cx="2652210" cy="16145260"/>
            <a:chOff x="0" y="0"/>
            <a:chExt cx="2652210" cy="16545349"/>
          </a:xfrm>
        </xdr:grpSpPr>
        <xdr:grpSp>
          <xdr:nvGrpSpPr>
            <xdr:cNvPr id="46" name="Groupe 45">
              <a:extLst>
                <a:ext uri="{FF2B5EF4-FFF2-40B4-BE49-F238E27FC236}">
                  <a16:creationId xmlns:a16="http://schemas.microsoft.com/office/drawing/2014/main" id="{2E9D5933-7E50-4AD3-AB46-6CBFD2C8AB02}"/>
                </a:ext>
              </a:extLst>
            </xdr:cNvPr>
            <xdr:cNvGrpSpPr/>
          </xdr:nvGrpSpPr>
          <xdr:grpSpPr>
            <a:xfrm>
              <a:off x="0" y="0"/>
              <a:ext cx="2652210" cy="16545349"/>
              <a:chOff x="0" y="0"/>
              <a:chExt cx="2652210" cy="16541616"/>
            </a:xfrm>
          </xdr:grpSpPr>
          <xdr:grpSp>
            <xdr:nvGrpSpPr>
              <xdr:cNvPr id="48" name="Groupe 47">
                <a:extLst>
                  <a:ext uri="{FF2B5EF4-FFF2-40B4-BE49-F238E27FC236}">
                    <a16:creationId xmlns:a16="http://schemas.microsoft.com/office/drawing/2014/main" id="{DB94DD2F-1911-4295-ADFF-B02A6888EF08}"/>
                  </a:ext>
                </a:extLst>
              </xdr:cNvPr>
              <xdr:cNvGrpSpPr/>
            </xdr:nvGrpSpPr>
            <xdr:grpSpPr>
              <a:xfrm>
                <a:off x="0" y="0"/>
                <a:ext cx="2652210" cy="16541616"/>
                <a:chOff x="0" y="0"/>
                <a:chExt cx="2652210" cy="16398750"/>
              </a:xfrm>
            </xdr:grpSpPr>
            <xdr:pic>
              <xdr:nvPicPr>
                <xdr:cNvPr id="50" name="Image 49">
                  <a:extLst>
                    <a:ext uri="{FF2B5EF4-FFF2-40B4-BE49-F238E27FC236}">
                      <a16:creationId xmlns:a16="http://schemas.microsoft.com/office/drawing/2014/main" id="{A2ACE5A4-FD58-47F7-A5D8-65FE860E1B00}"/>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398750"/>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1" name="Groupe 50">
                  <a:extLst>
                    <a:ext uri="{FF2B5EF4-FFF2-40B4-BE49-F238E27FC236}">
                      <a16:creationId xmlns:a16="http://schemas.microsoft.com/office/drawing/2014/main" id="{B6E444B6-1C7E-43F6-9D9F-3C4BCE532A6D}"/>
                    </a:ext>
                  </a:extLst>
                </xdr:cNvPr>
                <xdr:cNvGrpSpPr/>
              </xdr:nvGrpSpPr>
              <xdr:grpSpPr>
                <a:xfrm>
                  <a:off x="8283" y="2949975"/>
                  <a:ext cx="2637419" cy="1073362"/>
                  <a:chOff x="8283" y="2972387"/>
                  <a:chExt cx="2637419" cy="1090171"/>
                </a:xfrm>
              </xdr:grpSpPr>
              <xdr:sp macro="" textlink="">
                <xdr:nvSpPr>
                  <xdr:cNvPr id="65" name="Ellipse 64">
                    <a:extLst>
                      <a:ext uri="{FF2B5EF4-FFF2-40B4-BE49-F238E27FC236}">
                        <a16:creationId xmlns:a16="http://schemas.microsoft.com/office/drawing/2014/main" id="{905CC475-10A3-4DA5-BF24-EEB8469C4BD2}"/>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6" name="ZoneTexte 65">
                    <a:extLst>
                      <a:ext uri="{FF2B5EF4-FFF2-40B4-BE49-F238E27FC236}">
                        <a16:creationId xmlns:a16="http://schemas.microsoft.com/office/drawing/2014/main" id="{D9820EBA-FF76-419D-BC74-DBC502F9E089}"/>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2" name="Groupe 51">
                  <a:extLst>
                    <a:ext uri="{FF2B5EF4-FFF2-40B4-BE49-F238E27FC236}">
                      <a16:creationId xmlns:a16="http://schemas.microsoft.com/office/drawing/2014/main" id="{3F126B7D-2E4B-43D7-A28E-573CBCD3D643}"/>
                    </a:ext>
                  </a:extLst>
                </xdr:cNvPr>
                <xdr:cNvGrpSpPr/>
              </xdr:nvGrpSpPr>
              <xdr:grpSpPr>
                <a:xfrm>
                  <a:off x="1775" y="4904976"/>
                  <a:ext cx="2650435" cy="1365994"/>
                  <a:chOff x="1775" y="4956803"/>
                  <a:chExt cx="2650435" cy="1382803"/>
                </a:xfrm>
              </xdr:grpSpPr>
              <xdr:sp macro="" textlink="">
                <xdr:nvSpPr>
                  <xdr:cNvPr id="63" name="Ellipse 62">
                    <a:extLst>
                      <a:ext uri="{FF2B5EF4-FFF2-40B4-BE49-F238E27FC236}">
                        <a16:creationId xmlns:a16="http://schemas.microsoft.com/office/drawing/2014/main" id="{EB7C2A61-1A91-43B1-B7A8-560B723908AF}"/>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4" name="ZoneTexte 63">
                    <a:extLst>
                      <a:ext uri="{FF2B5EF4-FFF2-40B4-BE49-F238E27FC236}">
                        <a16:creationId xmlns:a16="http://schemas.microsoft.com/office/drawing/2014/main" id="{7F0D48E7-00B6-40A6-A225-402B64693AAB}"/>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C96B8228-E2A9-4694-8536-0C8112E59693}"/>
                    </a:ext>
                  </a:extLst>
                </xdr:cNvPr>
                <xdr:cNvGrpSpPr/>
              </xdr:nvGrpSpPr>
              <xdr:grpSpPr>
                <a:xfrm>
                  <a:off x="1775" y="6654494"/>
                  <a:ext cx="2650435" cy="1361792"/>
                  <a:chOff x="1775" y="6727332"/>
                  <a:chExt cx="2650435" cy="1382803"/>
                </a:xfrm>
              </xdr:grpSpPr>
              <xdr:sp macro="" textlink="">
                <xdr:nvSpPr>
                  <xdr:cNvPr id="61" name="Ellipse 60">
                    <a:extLst>
                      <a:ext uri="{FF2B5EF4-FFF2-40B4-BE49-F238E27FC236}">
                        <a16:creationId xmlns:a16="http://schemas.microsoft.com/office/drawing/2014/main" id="{8BFF920F-1237-4214-AC6C-96FFBA46753A}"/>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2" name="ZoneTexte 61">
                    <a:extLst>
                      <a:ext uri="{FF2B5EF4-FFF2-40B4-BE49-F238E27FC236}">
                        <a16:creationId xmlns:a16="http://schemas.microsoft.com/office/drawing/2014/main" id="{232B351B-A4D0-4224-8D94-A84CF882EC50}"/>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4" name="Groupe 53">
                  <a:extLst>
                    <a:ext uri="{FF2B5EF4-FFF2-40B4-BE49-F238E27FC236}">
                      <a16:creationId xmlns:a16="http://schemas.microsoft.com/office/drawing/2014/main" id="{66338676-037F-4CC3-A4B2-3EDF9D51D8FE}"/>
                    </a:ext>
                  </a:extLst>
                </xdr:cNvPr>
                <xdr:cNvGrpSpPr/>
              </xdr:nvGrpSpPr>
              <xdr:grpSpPr>
                <a:xfrm>
                  <a:off x="1775" y="8354988"/>
                  <a:ext cx="2650435" cy="1253934"/>
                  <a:chOff x="1775" y="8453039"/>
                  <a:chExt cx="2650435" cy="1270743"/>
                </a:xfrm>
              </xdr:grpSpPr>
              <xdr:sp macro="" textlink="">
                <xdr:nvSpPr>
                  <xdr:cNvPr id="59" name="Ellipse 58">
                    <a:extLst>
                      <a:ext uri="{FF2B5EF4-FFF2-40B4-BE49-F238E27FC236}">
                        <a16:creationId xmlns:a16="http://schemas.microsoft.com/office/drawing/2014/main" id="{E1566B7A-BC99-4F79-A74E-CABB77542E55}"/>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0" name="ZoneTexte 59">
                    <a:extLst>
                      <a:ext uri="{FF2B5EF4-FFF2-40B4-BE49-F238E27FC236}">
                        <a16:creationId xmlns:a16="http://schemas.microsoft.com/office/drawing/2014/main" id="{31058313-BEC1-49EF-89CA-A4400EABB547}"/>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5" name="Groupe 54">
                  <a:extLst>
                    <a:ext uri="{FF2B5EF4-FFF2-40B4-BE49-F238E27FC236}">
                      <a16:creationId xmlns:a16="http://schemas.microsoft.com/office/drawing/2014/main" id="{93A33252-3382-4413-BD0D-023399A541AC}"/>
                    </a:ext>
                  </a:extLst>
                </xdr:cNvPr>
                <xdr:cNvGrpSpPr/>
              </xdr:nvGrpSpPr>
              <xdr:grpSpPr>
                <a:xfrm>
                  <a:off x="1775" y="9723905"/>
                  <a:ext cx="2650435" cy="2783261"/>
                  <a:chOff x="1775" y="9838765"/>
                  <a:chExt cx="2650435" cy="2734235"/>
                </a:xfrm>
              </xdr:grpSpPr>
              <xdr:sp macro="" textlink="">
                <xdr:nvSpPr>
                  <xdr:cNvPr id="57" name="ZoneTexte 56">
                    <a:extLst>
                      <a:ext uri="{FF2B5EF4-FFF2-40B4-BE49-F238E27FC236}">
                        <a16:creationId xmlns:a16="http://schemas.microsoft.com/office/drawing/2014/main" id="{FE835ABA-279C-42D2-8317-7053CD55EC32}"/>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8" name="Image 57">
                    <a:extLst>
                      <a:ext uri="{FF2B5EF4-FFF2-40B4-BE49-F238E27FC236}">
                        <a16:creationId xmlns:a16="http://schemas.microsoft.com/office/drawing/2014/main" id="{9D151FFF-100A-4332-89A3-F88F32482FB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6" name="ZoneTexte 55">
                  <a:extLst>
                    <a:ext uri="{FF2B5EF4-FFF2-40B4-BE49-F238E27FC236}">
                      <a16:creationId xmlns:a16="http://schemas.microsoft.com/office/drawing/2014/main" id="{A37C96ED-82E5-4969-A6F3-8C913B5214AA}"/>
                    </a:ext>
                  </a:extLst>
                </xdr:cNvPr>
                <xdr:cNvSpPr txBox="1"/>
              </xdr:nvSpPr>
              <xdr:spPr>
                <a:xfrm>
                  <a:off x="0" y="13210333"/>
                  <a:ext cx="2650435" cy="1793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9" name="Image 48">
                <a:extLst>
                  <a:ext uri="{FF2B5EF4-FFF2-40B4-BE49-F238E27FC236}">
                    <a16:creationId xmlns:a16="http://schemas.microsoft.com/office/drawing/2014/main" id="{8A6EC744-4C8C-44DE-A27F-862CA88C3C0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7" name="Image 46">
              <a:extLst>
                <a:ext uri="{FF2B5EF4-FFF2-40B4-BE49-F238E27FC236}">
                  <a16:creationId xmlns:a16="http://schemas.microsoft.com/office/drawing/2014/main" id="{F0F4B3FF-8F1F-4EBA-869F-044B220F44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5" name="ZoneTexte 44">
            <a:extLst>
              <a:ext uri="{FF2B5EF4-FFF2-40B4-BE49-F238E27FC236}">
                <a16:creationId xmlns:a16="http://schemas.microsoft.com/office/drawing/2014/main" id="{7FC98674-B0C6-4FF3-A05A-5F1E494DE539}"/>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31296</xdr:colOff>
      <xdr:row>12</xdr:row>
      <xdr:rowOff>38100</xdr:rowOff>
    </xdr:from>
    <xdr:to>
      <xdr:col>11</xdr:col>
      <xdr:colOff>0</xdr:colOff>
      <xdr:row>13</xdr:row>
      <xdr:rowOff>285216</xdr:rowOff>
    </xdr:to>
    <xdr:sp macro="" textlink="">
      <xdr:nvSpPr>
        <xdr:cNvPr id="67" name="Bulle narrative : rectangle 66">
          <a:extLst>
            <a:ext uri="{FF2B5EF4-FFF2-40B4-BE49-F238E27FC236}">
              <a16:creationId xmlns:a16="http://schemas.microsoft.com/office/drawing/2014/main" id="{305F4FA1-7DC7-43C1-82F7-1AD7C1E84CD9}"/>
            </a:ext>
          </a:extLst>
        </xdr:cNvPr>
        <xdr:cNvSpPr/>
      </xdr:nvSpPr>
      <xdr:spPr>
        <a:xfrm>
          <a:off x="13769067" y="4321629"/>
          <a:ext cx="2069647" cy="562801"/>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0.09872</cdr:x>
      <cdr:y>0.00507</cdr:y>
    </cdr:from>
    <cdr:to>
      <cdr:x>0.97085</cdr:x>
      <cdr:y>0.06521</cdr:y>
    </cdr:to>
    <cdr:sp macro="" textlink="">
      <cdr:nvSpPr>
        <cdr:cNvPr id="8193" name="Text Box 1"/>
        <cdr:cNvSpPr txBox="1">
          <a:spLocks xmlns:a="http://schemas.openxmlformats.org/drawingml/2006/main" noChangeArrowheads="1"/>
        </cdr:cNvSpPr>
      </cdr:nvSpPr>
      <cdr:spPr bwMode="auto">
        <a:xfrm xmlns:a="http://schemas.openxmlformats.org/drawingml/2006/main">
          <a:off x="1171638" y="26286"/>
          <a:ext cx="10350500" cy="31181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AQUILA - F-GRFY</a:t>
          </a:r>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170691</xdr:colOff>
      <xdr:row>22</xdr:row>
      <xdr:rowOff>95811</xdr:rowOff>
    </xdr:from>
    <xdr:to>
      <xdr:col>11</xdr:col>
      <xdr:colOff>81845</xdr:colOff>
      <xdr:row>56</xdr:row>
      <xdr:rowOff>246528</xdr:rowOff>
    </xdr:to>
    <xdr:graphicFrame macro="">
      <xdr:nvGraphicFramePr>
        <xdr:cNvPr id="2" name="Chart 1">
          <a:extLst>
            <a:ext uri="{FF2B5EF4-FFF2-40B4-BE49-F238E27FC236}">
              <a16:creationId xmlns:a16="http://schemas.microsoft.com/office/drawing/2014/main" id="{E11CD3AA-3EFC-459C-89CB-C28AB55CA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1509227</xdr:colOff>
      <xdr:row>25</xdr:row>
      <xdr:rowOff>30788</xdr:rowOff>
    </xdr:from>
    <xdr:to>
      <xdr:col>4</xdr:col>
      <xdr:colOff>609022</xdr:colOff>
      <xdr:row>27</xdr:row>
      <xdr:rowOff>224665</xdr:rowOff>
    </xdr:to>
    <xdr:grpSp>
      <xdr:nvGrpSpPr>
        <xdr:cNvPr id="3" name="Groupe 2">
          <a:extLst>
            <a:ext uri="{FF2B5EF4-FFF2-40B4-BE49-F238E27FC236}">
              <a16:creationId xmlns:a16="http://schemas.microsoft.com/office/drawing/2014/main" id="{338305B0-3B58-4B1A-BE43-2DB21CF07302}"/>
            </a:ext>
          </a:extLst>
        </xdr:cNvPr>
        <xdr:cNvGrpSpPr/>
      </xdr:nvGrpSpPr>
      <xdr:grpSpPr>
        <a:xfrm>
          <a:off x="4355521" y="8367964"/>
          <a:ext cx="3145119" cy="821407"/>
          <a:chOff x="1297409" y="9113934"/>
          <a:chExt cx="3137945" cy="823445"/>
        </a:xfrm>
      </xdr:grpSpPr>
      <xdr:sp macro="" textlink="">
        <xdr:nvSpPr>
          <xdr:cNvPr id="4" name="Rectangle 3">
            <a:extLst>
              <a:ext uri="{FF2B5EF4-FFF2-40B4-BE49-F238E27FC236}">
                <a16:creationId xmlns:a16="http://schemas.microsoft.com/office/drawing/2014/main" id="{6262D16C-37C0-48B6-BBB7-BAF4B46E81CA}"/>
              </a:ext>
            </a:extLst>
          </xdr:cNvPr>
          <xdr:cNvSpPr/>
        </xdr:nvSpPr>
        <xdr:spPr>
          <a:xfrm>
            <a:off x="1390700" y="9113934"/>
            <a:ext cx="3044654"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baseline="0">
                <a:solidFill>
                  <a:srgbClr val="C00000"/>
                </a:solidFill>
                <a:latin typeface="Book Antiqua" panose="02040602050305030304" pitchFamily="18" charset="0"/>
              </a:rPr>
              <a:t>Masse au décollage</a:t>
            </a:r>
          </a:p>
          <a:p>
            <a:pPr algn="l"/>
            <a:endParaRPr lang="fr-FR" sz="13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5" name="Rectangle 4">
            <a:extLst>
              <a:ext uri="{FF2B5EF4-FFF2-40B4-BE49-F238E27FC236}">
                <a16:creationId xmlns:a16="http://schemas.microsoft.com/office/drawing/2014/main" id="{CB3BB187-C249-4C6B-A99A-DB3DFBA1FA52}"/>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6" name="Rectangle 5">
            <a:extLst>
              <a:ext uri="{FF2B5EF4-FFF2-40B4-BE49-F238E27FC236}">
                <a16:creationId xmlns:a16="http://schemas.microsoft.com/office/drawing/2014/main" id="{8D09B56F-FF9C-483B-B346-992BADAF83C8}"/>
              </a:ext>
            </a:extLst>
          </xdr:cNvPr>
          <xdr:cNvSpPr/>
        </xdr:nvSpPr>
        <xdr:spPr>
          <a:xfrm rot="2749803" flipH="1">
            <a:off x="1301245" y="9602911"/>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13</xdr:row>
      <xdr:rowOff>10583</xdr:rowOff>
    </xdr:from>
    <xdr:to>
      <xdr:col>2</xdr:col>
      <xdr:colOff>709085</xdr:colOff>
      <xdr:row>14</xdr:row>
      <xdr:rowOff>243417</xdr:rowOff>
    </xdr:to>
    <xdr:sp macro="" textlink="$D$21">
      <xdr:nvSpPr>
        <xdr:cNvPr id="8" name="Rectangle : coins arrondis 7">
          <a:extLst>
            <a:ext uri="{FF2B5EF4-FFF2-40B4-BE49-F238E27FC236}">
              <a16:creationId xmlns:a16="http://schemas.microsoft.com/office/drawing/2014/main" id="{4A7F1231-5EB0-4622-89E0-50C2B72FE545}"/>
            </a:ext>
          </a:extLst>
        </xdr:cNvPr>
        <xdr:cNvSpPr/>
      </xdr:nvSpPr>
      <xdr:spPr>
        <a:xfrm>
          <a:off x="3070226" y="4592108"/>
          <a:ext cx="24299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82F3B876-2F8F-4F42-A86C-972055C5D1D6}"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17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13</xdr:row>
      <xdr:rowOff>0</xdr:rowOff>
    </xdr:from>
    <xdr:to>
      <xdr:col>2</xdr:col>
      <xdr:colOff>931334</xdr:colOff>
      <xdr:row>13</xdr:row>
      <xdr:rowOff>264588</xdr:rowOff>
    </xdr:to>
    <xdr:sp macro="" textlink="">
      <xdr:nvSpPr>
        <xdr:cNvPr id="9" name="ZoneTexte 8">
          <a:extLst>
            <a:ext uri="{FF2B5EF4-FFF2-40B4-BE49-F238E27FC236}">
              <a16:creationId xmlns:a16="http://schemas.microsoft.com/office/drawing/2014/main" id="{D257FB82-70BC-43CF-A37B-43F27238CADF}"/>
            </a:ext>
          </a:extLst>
        </xdr:cNvPr>
        <xdr:cNvSpPr txBox="1"/>
      </xdr:nvSpPr>
      <xdr:spPr>
        <a:xfrm>
          <a:off x="2847975" y="4581525"/>
          <a:ext cx="28744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18146</xdr:colOff>
      <xdr:row>0</xdr:row>
      <xdr:rowOff>47332</xdr:rowOff>
    </xdr:from>
    <xdr:to>
      <xdr:col>2</xdr:col>
      <xdr:colOff>749861</xdr:colOff>
      <xdr:row>0</xdr:row>
      <xdr:rowOff>564403</xdr:rowOff>
    </xdr:to>
    <xdr:grpSp>
      <xdr:nvGrpSpPr>
        <xdr:cNvPr id="10" name="Groupe 9">
          <a:extLst>
            <a:ext uri="{FF2B5EF4-FFF2-40B4-BE49-F238E27FC236}">
              <a16:creationId xmlns:a16="http://schemas.microsoft.com/office/drawing/2014/main" id="{E6564084-F93F-4C6C-98A0-81A73599708E}"/>
            </a:ext>
          </a:extLst>
        </xdr:cNvPr>
        <xdr:cNvGrpSpPr/>
      </xdr:nvGrpSpPr>
      <xdr:grpSpPr>
        <a:xfrm>
          <a:off x="2864440" y="47332"/>
          <a:ext cx="2670333" cy="517071"/>
          <a:chOff x="1156608" y="20411"/>
          <a:chExt cx="2677536" cy="517071"/>
        </a:xfrm>
      </xdr:grpSpPr>
      <xdr:sp macro="" textlink="">
        <xdr:nvSpPr>
          <xdr:cNvPr id="11" name="Ellipse 10">
            <a:extLst>
              <a:ext uri="{FF2B5EF4-FFF2-40B4-BE49-F238E27FC236}">
                <a16:creationId xmlns:a16="http://schemas.microsoft.com/office/drawing/2014/main" id="{1B4D1175-24AC-4FB2-8953-8010A0C63448}"/>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2" name="Ellipse 11">
            <a:extLst>
              <a:ext uri="{FF2B5EF4-FFF2-40B4-BE49-F238E27FC236}">
                <a16:creationId xmlns:a16="http://schemas.microsoft.com/office/drawing/2014/main" id="{AD9EA590-DE0E-4FE5-839C-68C49C1DAFE7}"/>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3" name="ZoneTexte 12">
            <a:extLst>
              <a:ext uri="{FF2B5EF4-FFF2-40B4-BE49-F238E27FC236}">
                <a16:creationId xmlns:a16="http://schemas.microsoft.com/office/drawing/2014/main" id="{3DB68687-7701-40AE-94B3-93595D1DD9BE}"/>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4" name="ZoneTexte 13">
            <a:extLst>
              <a:ext uri="{FF2B5EF4-FFF2-40B4-BE49-F238E27FC236}">
                <a16:creationId xmlns:a16="http://schemas.microsoft.com/office/drawing/2014/main" id="{2AF1D141-3CB1-45D2-9732-967AD8094E93}"/>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556955</xdr:colOff>
      <xdr:row>7</xdr:row>
      <xdr:rowOff>218656</xdr:rowOff>
    </xdr:from>
    <xdr:to>
      <xdr:col>2</xdr:col>
      <xdr:colOff>1046812</xdr:colOff>
      <xdr:row>9</xdr:row>
      <xdr:rowOff>88791</xdr:rowOff>
    </xdr:to>
    <xdr:sp macro="" textlink="">
      <xdr:nvSpPr>
        <xdr:cNvPr id="15" name="Ellipse 14">
          <a:extLst>
            <a:ext uri="{FF2B5EF4-FFF2-40B4-BE49-F238E27FC236}">
              <a16:creationId xmlns:a16="http://schemas.microsoft.com/office/drawing/2014/main" id="{E5CADE95-BAC4-4664-92D0-1C758A564E61}"/>
            </a:ext>
          </a:extLst>
        </xdr:cNvPr>
        <xdr:cNvSpPr/>
      </xdr:nvSpPr>
      <xdr:spPr>
        <a:xfrm>
          <a:off x="5348030" y="2914231"/>
          <a:ext cx="489857" cy="49878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12151</xdr:colOff>
      <xdr:row>7</xdr:row>
      <xdr:rowOff>72285</xdr:rowOff>
    </xdr:from>
    <xdr:to>
      <xdr:col>12</xdr:col>
      <xdr:colOff>507610</xdr:colOff>
      <xdr:row>8</xdr:row>
      <xdr:rowOff>250315</xdr:rowOff>
    </xdr:to>
    <xdr:sp macro="" textlink="">
      <xdr:nvSpPr>
        <xdr:cNvPr id="16" name="Ellipse 15">
          <a:extLst>
            <a:ext uri="{FF2B5EF4-FFF2-40B4-BE49-F238E27FC236}">
              <a16:creationId xmlns:a16="http://schemas.microsoft.com/office/drawing/2014/main" id="{0AE84A89-6611-4D77-92A2-735D0CB26CBE}"/>
            </a:ext>
          </a:extLst>
        </xdr:cNvPr>
        <xdr:cNvSpPr/>
      </xdr:nvSpPr>
      <xdr:spPr>
        <a:xfrm>
          <a:off x="16214176" y="2767860"/>
          <a:ext cx="495459" cy="4923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7203</xdr:colOff>
      <xdr:row>15</xdr:row>
      <xdr:rowOff>68053</xdr:rowOff>
    </xdr:from>
    <xdr:to>
      <xdr:col>7</xdr:col>
      <xdr:colOff>502663</xdr:colOff>
      <xdr:row>16</xdr:row>
      <xdr:rowOff>250282</xdr:rowOff>
    </xdr:to>
    <xdr:sp macro="" textlink="">
      <xdr:nvSpPr>
        <xdr:cNvPr id="17" name="Ellipse 16">
          <a:extLst>
            <a:ext uri="{FF2B5EF4-FFF2-40B4-BE49-F238E27FC236}">
              <a16:creationId xmlns:a16="http://schemas.microsoft.com/office/drawing/2014/main" id="{EA0CBAE8-DEC3-4669-858F-ED53DAB8E14B}"/>
            </a:ext>
          </a:extLst>
        </xdr:cNvPr>
        <xdr:cNvSpPr/>
      </xdr:nvSpPr>
      <xdr:spPr>
        <a:xfrm>
          <a:off x="9370278" y="5278228"/>
          <a:ext cx="495460" cy="49655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5554</xdr:colOff>
      <xdr:row>17</xdr:row>
      <xdr:rowOff>231560</xdr:rowOff>
    </xdr:from>
    <xdr:to>
      <xdr:col>12</xdr:col>
      <xdr:colOff>514207</xdr:colOff>
      <xdr:row>19</xdr:row>
      <xdr:rowOff>107965</xdr:rowOff>
    </xdr:to>
    <xdr:sp macro="" textlink="">
      <xdr:nvSpPr>
        <xdr:cNvPr id="18" name="Ellipse 17">
          <a:extLst>
            <a:ext uri="{FF2B5EF4-FFF2-40B4-BE49-F238E27FC236}">
              <a16:creationId xmlns:a16="http://schemas.microsoft.com/office/drawing/2014/main" id="{0076B250-DBBC-44AB-80CB-425F8C19916C}"/>
            </a:ext>
          </a:extLst>
        </xdr:cNvPr>
        <xdr:cNvSpPr/>
      </xdr:nvSpPr>
      <xdr:spPr>
        <a:xfrm>
          <a:off x="16207579" y="6070385"/>
          <a:ext cx="508653" cy="5050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11</xdr:col>
      <xdr:colOff>346364</xdr:colOff>
      <xdr:row>27</xdr:row>
      <xdr:rowOff>220402</xdr:rowOff>
    </xdr:from>
    <xdr:to>
      <xdr:col>17</xdr:col>
      <xdr:colOff>133351</xdr:colOff>
      <xdr:row>48</xdr:row>
      <xdr:rowOff>18712</xdr:rowOff>
    </xdr:to>
    <xdr:grpSp>
      <xdr:nvGrpSpPr>
        <xdr:cNvPr id="19" name="Groupe 18">
          <a:extLst>
            <a:ext uri="{FF2B5EF4-FFF2-40B4-BE49-F238E27FC236}">
              <a16:creationId xmlns:a16="http://schemas.microsoft.com/office/drawing/2014/main" id="{B5D48215-ED02-4698-A111-CA3BE97EC783}"/>
            </a:ext>
          </a:extLst>
        </xdr:cNvPr>
        <xdr:cNvGrpSpPr/>
      </xdr:nvGrpSpPr>
      <xdr:grpSpPr>
        <a:xfrm>
          <a:off x="16202688" y="9185108"/>
          <a:ext cx="5076163" cy="4773722"/>
          <a:chOff x="18635383" y="9424153"/>
          <a:chExt cx="5319226" cy="5031445"/>
        </a:xfrm>
      </xdr:grpSpPr>
      <xdr:grpSp>
        <xdr:nvGrpSpPr>
          <xdr:cNvPr id="20" name="Groupe 19">
            <a:extLst>
              <a:ext uri="{FF2B5EF4-FFF2-40B4-BE49-F238E27FC236}">
                <a16:creationId xmlns:a16="http://schemas.microsoft.com/office/drawing/2014/main" id="{E98F9E6A-74AF-4DAC-B3DA-4835A8D3E578}"/>
              </a:ext>
            </a:extLst>
          </xdr:cNvPr>
          <xdr:cNvGrpSpPr/>
        </xdr:nvGrpSpPr>
        <xdr:grpSpPr>
          <a:xfrm>
            <a:off x="18635383" y="9424153"/>
            <a:ext cx="5319226" cy="5031445"/>
            <a:chOff x="18635382" y="9424146"/>
            <a:chExt cx="5319226" cy="5031441"/>
          </a:xfrm>
        </xdr:grpSpPr>
        <xdr:sp macro="" textlink="">
          <xdr:nvSpPr>
            <xdr:cNvPr id="22" name="Rectangle : coins arrondis 21">
              <a:extLst>
                <a:ext uri="{FF2B5EF4-FFF2-40B4-BE49-F238E27FC236}">
                  <a16:creationId xmlns:a16="http://schemas.microsoft.com/office/drawing/2014/main" id="{4070877B-A68E-4D8C-8367-AB50CEC8DA3C}"/>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3" name="Groupe 22">
              <a:extLst>
                <a:ext uri="{FF2B5EF4-FFF2-40B4-BE49-F238E27FC236}">
                  <a16:creationId xmlns:a16="http://schemas.microsoft.com/office/drawing/2014/main" id="{F4090236-5DCD-4F84-99A0-6FD4FB616E6F}"/>
                </a:ext>
              </a:extLst>
            </xdr:cNvPr>
            <xdr:cNvGrpSpPr/>
          </xdr:nvGrpSpPr>
          <xdr:grpSpPr>
            <a:xfrm>
              <a:off x="18720133" y="9488680"/>
              <a:ext cx="5234475" cy="4602831"/>
              <a:chOff x="18126221" y="9410239"/>
              <a:chExt cx="5234475" cy="4602831"/>
            </a:xfrm>
          </xdr:grpSpPr>
          <xdr:graphicFrame macro="">
            <xdr:nvGraphicFramePr>
              <xdr:cNvPr id="24" name="Graphique 23">
                <a:extLst>
                  <a:ext uri="{FF2B5EF4-FFF2-40B4-BE49-F238E27FC236}">
                    <a16:creationId xmlns:a16="http://schemas.microsoft.com/office/drawing/2014/main" id="{306E068D-CA04-467D-86ED-D345AF4DAF9F}"/>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5" name="Graphique 24">
                <a:extLst>
                  <a:ext uri="{FF2B5EF4-FFF2-40B4-BE49-F238E27FC236}">
                    <a16:creationId xmlns:a16="http://schemas.microsoft.com/office/drawing/2014/main" id="{3B454336-3CE1-40F2-A468-3CAA97CD8DE0}"/>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26" name="Groupe 25">
                <a:extLst>
                  <a:ext uri="{FF2B5EF4-FFF2-40B4-BE49-F238E27FC236}">
                    <a16:creationId xmlns:a16="http://schemas.microsoft.com/office/drawing/2014/main" id="{AB6482A7-1A94-445A-B972-3DF251AFC46C}"/>
                  </a:ext>
                </a:extLst>
              </xdr:cNvPr>
              <xdr:cNvGrpSpPr/>
            </xdr:nvGrpSpPr>
            <xdr:grpSpPr>
              <a:xfrm>
                <a:off x="19772054" y="13230298"/>
                <a:ext cx="2575890" cy="777055"/>
                <a:chOff x="20540874" y="13124387"/>
                <a:chExt cx="2592456" cy="779498"/>
              </a:xfrm>
            </xdr:grpSpPr>
            <xdr:sp macro="" textlink="$J$15">
              <xdr:nvSpPr>
                <xdr:cNvPr id="40" name="Rectangle : coins arrondis 39">
                  <a:extLst>
                    <a:ext uri="{FF2B5EF4-FFF2-40B4-BE49-F238E27FC236}">
                      <a16:creationId xmlns:a16="http://schemas.microsoft.com/office/drawing/2014/main" id="{419C366F-9CAB-4AAE-A35D-993BB83D7357}"/>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6C8F60-1702-46D6-A612-BE9812B32D5F}" type="TxLink">
                    <a:rPr lang="en-US" sz="1600" b="1" i="0" u="none" strike="noStrike">
                      <a:solidFill>
                        <a:schemeClr val="bg1"/>
                      </a:solidFill>
                      <a:latin typeface="Book Antiqua"/>
                    </a:rPr>
                    <a:pPr algn="ctr"/>
                    <a:t>4 h et 9 mn</a:t>
                  </a:fld>
                  <a:endParaRPr lang="fr-FR" sz="1600">
                    <a:solidFill>
                      <a:schemeClr val="bg1"/>
                    </a:solidFill>
                  </a:endParaRPr>
                </a:p>
              </xdr:txBody>
            </xdr:sp>
            <xdr:sp macro="" textlink="">
              <xdr:nvSpPr>
                <xdr:cNvPr id="41" name="Rectangle 40">
                  <a:extLst>
                    <a:ext uri="{FF2B5EF4-FFF2-40B4-BE49-F238E27FC236}">
                      <a16:creationId xmlns:a16="http://schemas.microsoft.com/office/drawing/2014/main" id="{A31E5C20-83C9-4EE0-9D7D-B290798AC47C}"/>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7" name="Groupe 26">
                <a:extLst>
                  <a:ext uri="{FF2B5EF4-FFF2-40B4-BE49-F238E27FC236}">
                    <a16:creationId xmlns:a16="http://schemas.microsoft.com/office/drawing/2014/main" id="{2FB51C54-28B6-4295-93BF-FE35FF9A47BF}"/>
                  </a:ext>
                </a:extLst>
              </xdr:cNvPr>
              <xdr:cNvGrpSpPr/>
            </xdr:nvGrpSpPr>
            <xdr:grpSpPr>
              <a:xfrm>
                <a:off x="18126221" y="10164186"/>
                <a:ext cx="1437373" cy="3848884"/>
                <a:chOff x="21115755" y="9612661"/>
                <a:chExt cx="1446142" cy="3861552"/>
              </a:xfrm>
            </xdr:grpSpPr>
            <xdr:grpSp>
              <xdr:nvGrpSpPr>
                <xdr:cNvPr id="28" name="Groupe 27">
                  <a:extLst>
                    <a:ext uri="{FF2B5EF4-FFF2-40B4-BE49-F238E27FC236}">
                      <a16:creationId xmlns:a16="http://schemas.microsoft.com/office/drawing/2014/main" id="{71D9FFCB-B310-4882-848C-B9AA87B91800}"/>
                    </a:ext>
                  </a:extLst>
                </xdr:cNvPr>
                <xdr:cNvGrpSpPr/>
              </xdr:nvGrpSpPr>
              <xdr:grpSpPr>
                <a:xfrm rot="5400000">
                  <a:off x="21292935" y="9461362"/>
                  <a:ext cx="1063620" cy="1366218"/>
                  <a:chOff x="21097375" y="9615841"/>
                  <a:chExt cx="1408044" cy="1134646"/>
                </a:xfrm>
              </xdr:grpSpPr>
              <xdr:sp macro="" textlink="Capacité_carburant_Max_08">
                <xdr:nvSpPr>
                  <xdr:cNvPr id="38" name="Flèche : pentagone 37">
                    <a:extLst>
                      <a:ext uri="{FF2B5EF4-FFF2-40B4-BE49-F238E27FC236}">
                        <a16:creationId xmlns:a16="http://schemas.microsoft.com/office/drawing/2014/main" id="{C4B163A5-5814-4E59-A606-537C440255B9}"/>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41DCDD83-894D-4460-8719-B255DCDD0685}" type="TxLink">
                      <a:rPr lang="en-US" sz="1400" b="1" i="0" u="none" strike="noStrike">
                        <a:solidFill>
                          <a:srgbClr val="000000"/>
                        </a:solidFill>
                        <a:effectLst/>
                        <a:latin typeface="Book Antiqua"/>
                      </a:rPr>
                      <a:pPr algn="ctr"/>
                      <a:t>80,0 L</a:t>
                    </a:fld>
                    <a:endParaRPr lang="fr-FR" sz="1400" b="1">
                      <a:solidFill>
                        <a:srgbClr val="002060"/>
                      </a:solidFill>
                      <a:effectLst/>
                    </a:endParaRPr>
                  </a:p>
                </xdr:txBody>
              </xdr:sp>
              <xdr:sp macro="" textlink="">
                <xdr:nvSpPr>
                  <xdr:cNvPr id="39" name="ZoneTexte 38">
                    <a:extLst>
                      <a:ext uri="{FF2B5EF4-FFF2-40B4-BE49-F238E27FC236}">
                        <a16:creationId xmlns:a16="http://schemas.microsoft.com/office/drawing/2014/main" id="{10A7D85D-6ED1-4888-B346-7C059D80B220}"/>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29" name="Groupe 28">
                  <a:extLst>
                    <a:ext uri="{FF2B5EF4-FFF2-40B4-BE49-F238E27FC236}">
                      <a16:creationId xmlns:a16="http://schemas.microsoft.com/office/drawing/2014/main" id="{070E3E59-480C-4109-868F-7E52290AFD37}"/>
                    </a:ext>
                  </a:extLst>
                </xdr:cNvPr>
                <xdr:cNvGrpSpPr/>
              </xdr:nvGrpSpPr>
              <xdr:grpSpPr>
                <a:xfrm rot="5400000">
                  <a:off x="21137289" y="10185154"/>
                  <a:ext cx="1408044" cy="1441173"/>
                  <a:chOff x="21128934" y="10031614"/>
                  <a:chExt cx="1408044" cy="715464"/>
                </a:xfrm>
              </xdr:grpSpPr>
              <xdr:sp macro="" textlink="Carburant_utilisable_08">
                <xdr:nvSpPr>
                  <xdr:cNvPr id="36" name="Flèche : chevron 35">
                    <a:extLst>
                      <a:ext uri="{FF2B5EF4-FFF2-40B4-BE49-F238E27FC236}">
                        <a16:creationId xmlns:a16="http://schemas.microsoft.com/office/drawing/2014/main" id="{373B2158-12CC-4C5F-92ED-6A37FC8825E2}"/>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0D78CDB0-5E13-4B5E-87E5-D9E2D3F24A66}" type="TxLink">
                      <a:rPr lang="en-US" sz="1400" b="1" i="0" u="none" strike="noStrike">
                        <a:solidFill>
                          <a:srgbClr val="000000"/>
                        </a:solidFill>
                        <a:effectLst/>
                        <a:latin typeface="Book Antiqua"/>
                      </a:rPr>
                      <a:pPr algn="ctr"/>
                      <a:t>69,6 L</a:t>
                    </a:fld>
                    <a:endParaRPr lang="fr-FR" sz="1400" b="1">
                      <a:solidFill>
                        <a:schemeClr val="accent6">
                          <a:lumMod val="50000"/>
                        </a:schemeClr>
                      </a:solidFill>
                      <a:effectLst/>
                    </a:endParaRPr>
                  </a:p>
                </xdr:txBody>
              </xdr:sp>
              <xdr:sp macro="" textlink="">
                <xdr:nvSpPr>
                  <xdr:cNvPr id="37" name="ZoneTexte 36">
                    <a:extLst>
                      <a:ext uri="{FF2B5EF4-FFF2-40B4-BE49-F238E27FC236}">
                        <a16:creationId xmlns:a16="http://schemas.microsoft.com/office/drawing/2014/main" id="{09672DC9-539D-4E1B-8484-2553DE8AC66E}"/>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0" name="Groupe 29">
                  <a:extLst>
                    <a:ext uri="{FF2B5EF4-FFF2-40B4-BE49-F238E27FC236}">
                      <a16:creationId xmlns:a16="http://schemas.microsoft.com/office/drawing/2014/main" id="{58A798C2-85F1-4A19-A80A-B0C490458B92}"/>
                    </a:ext>
                  </a:extLst>
                </xdr:cNvPr>
                <xdr:cNvGrpSpPr/>
              </xdr:nvGrpSpPr>
              <xdr:grpSpPr>
                <a:xfrm rot="5400000">
                  <a:off x="21137289" y="11118637"/>
                  <a:ext cx="1408044" cy="1441173"/>
                  <a:chOff x="21128934" y="10031614"/>
                  <a:chExt cx="1408044" cy="715464"/>
                </a:xfrm>
              </xdr:grpSpPr>
              <xdr:sp macro="" textlink="$S$19">
                <xdr:nvSpPr>
                  <xdr:cNvPr id="34" name="Flèche : chevron 33">
                    <a:extLst>
                      <a:ext uri="{FF2B5EF4-FFF2-40B4-BE49-F238E27FC236}">
                        <a16:creationId xmlns:a16="http://schemas.microsoft.com/office/drawing/2014/main" id="{CFAFE190-CC7C-4AB4-AACA-FD55E34A221C}"/>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E99CB90C-7CC8-40D8-9F0E-B23CFE7201CB}" type="TxLink">
                      <a:rPr lang="en-US" sz="1400" b="1" i="0" u="none" strike="noStrike">
                        <a:solidFill>
                          <a:srgbClr val="C00000"/>
                        </a:solidFill>
                        <a:effectLst/>
                        <a:latin typeface="Book Antiqua"/>
                      </a:rPr>
                      <a:pPr algn="ctr"/>
                      <a:t>10 L</a:t>
                    </a:fld>
                    <a:endParaRPr lang="fr-FR" sz="1400" b="1">
                      <a:solidFill>
                        <a:srgbClr val="C00000"/>
                      </a:solidFill>
                      <a:effectLst/>
                    </a:endParaRPr>
                  </a:p>
                </xdr:txBody>
              </xdr:sp>
              <xdr:sp macro="" textlink="">
                <xdr:nvSpPr>
                  <xdr:cNvPr id="35" name="ZoneTexte 34">
                    <a:extLst>
                      <a:ext uri="{FF2B5EF4-FFF2-40B4-BE49-F238E27FC236}">
                        <a16:creationId xmlns:a16="http://schemas.microsoft.com/office/drawing/2014/main" id="{EF3AF4F1-DB13-4CF1-AA4E-E4601C10160C}"/>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1" name="Groupe 30">
                  <a:extLst>
                    <a:ext uri="{FF2B5EF4-FFF2-40B4-BE49-F238E27FC236}">
                      <a16:creationId xmlns:a16="http://schemas.microsoft.com/office/drawing/2014/main" id="{2DA17532-5220-4B10-8FAB-A129CDFA89B4}"/>
                    </a:ext>
                  </a:extLst>
                </xdr:cNvPr>
                <xdr:cNvGrpSpPr/>
              </xdr:nvGrpSpPr>
              <xdr:grpSpPr>
                <a:xfrm rot="5400000">
                  <a:off x="21132320" y="12049604"/>
                  <a:ext cx="1408044" cy="1441173"/>
                  <a:chOff x="21128935" y="10031614"/>
                  <a:chExt cx="1408044" cy="715464"/>
                </a:xfrm>
              </xdr:grpSpPr>
              <xdr:sp macro="" textlink="Carburant_Bloc_08">
                <xdr:nvSpPr>
                  <xdr:cNvPr id="32" name="Flèche : chevron 42">
                    <a:extLst>
                      <a:ext uri="{FF2B5EF4-FFF2-40B4-BE49-F238E27FC236}">
                        <a16:creationId xmlns:a16="http://schemas.microsoft.com/office/drawing/2014/main" id="{BF547663-111F-432B-A806-62638E79EA5A}"/>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2E3A753-2BD3-4F9C-B64D-5E033BB2BE41}" type="TxLink">
                      <a:rPr lang="en-US" sz="1400" b="1" i="0" u="none" strike="noStrike">
                        <a:solidFill>
                          <a:srgbClr val="FFFFFF"/>
                        </a:solidFill>
                        <a:effectLst/>
                        <a:latin typeface="Book Antiqua"/>
                      </a:rPr>
                      <a:pPr algn="ctr"/>
                      <a:t>47,6 L</a:t>
                    </a:fld>
                    <a:endParaRPr lang="fr-FR" sz="1400" b="1">
                      <a:solidFill>
                        <a:srgbClr val="C00000"/>
                      </a:solidFill>
                      <a:effectLst/>
                    </a:endParaRPr>
                  </a:p>
                </xdr:txBody>
              </xdr:sp>
              <xdr:sp macro="" textlink="">
                <xdr:nvSpPr>
                  <xdr:cNvPr id="33" name="ZoneTexte 32">
                    <a:extLst>
                      <a:ext uri="{FF2B5EF4-FFF2-40B4-BE49-F238E27FC236}">
                        <a16:creationId xmlns:a16="http://schemas.microsoft.com/office/drawing/2014/main" id="{D71CBEA3-681C-4D23-9850-3DF5407A6C7F}"/>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sp macro="" textlink="">
        <xdr:nvSpPr>
          <xdr:cNvPr id="21" name="Rectangle : coins arrondis 20">
            <a:extLst>
              <a:ext uri="{FF2B5EF4-FFF2-40B4-BE49-F238E27FC236}">
                <a16:creationId xmlns:a16="http://schemas.microsoft.com/office/drawing/2014/main" id="{88DFD0C1-CF4B-45BB-9EE6-1D86BBD51FCF}"/>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89647</xdr:colOff>
      <xdr:row>0</xdr:row>
      <xdr:rowOff>9673</xdr:rowOff>
    </xdr:from>
    <xdr:to>
      <xdr:col>0</xdr:col>
      <xdr:colOff>2752467</xdr:colOff>
      <xdr:row>57</xdr:row>
      <xdr:rowOff>0</xdr:rowOff>
    </xdr:to>
    <xdr:grpSp>
      <xdr:nvGrpSpPr>
        <xdr:cNvPr id="42" name="Groupe 41">
          <a:extLst>
            <a:ext uri="{FF2B5EF4-FFF2-40B4-BE49-F238E27FC236}">
              <a16:creationId xmlns:a16="http://schemas.microsoft.com/office/drawing/2014/main" id="{398FC50D-0197-4576-B5ED-F4AAE3C348B1}"/>
            </a:ext>
          </a:extLst>
        </xdr:cNvPr>
        <xdr:cNvGrpSpPr/>
      </xdr:nvGrpSpPr>
      <xdr:grpSpPr>
        <a:xfrm>
          <a:off x="89647" y="9673"/>
          <a:ext cx="2662820" cy="16070768"/>
          <a:chOff x="91967" y="0"/>
          <a:chExt cx="2662820" cy="16145260"/>
        </a:xfrm>
      </xdr:grpSpPr>
      <xdr:grpSp>
        <xdr:nvGrpSpPr>
          <xdr:cNvPr id="43" name="Groupe 42">
            <a:extLst>
              <a:ext uri="{FF2B5EF4-FFF2-40B4-BE49-F238E27FC236}">
                <a16:creationId xmlns:a16="http://schemas.microsoft.com/office/drawing/2014/main" id="{53890073-1F25-46FF-B1F2-769F20FDE414}"/>
              </a:ext>
            </a:extLst>
          </xdr:cNvPr>
          <xdr:cNvGrpSpPr/>
        </xdr:nvGrpSpPr>
        <xdr:grpSpPr>
          <a:xfrm>
            <a:off x="102577" y="0"/>
            <a:ext cx="2652210" cy="16145260"/>
            <a:chOff x="0" y="0"/>
            <a:chExt cx="2652210" cy="16545349"/>
          </a:xfrm>
        </xdr:grpSpPr>
        <xdr:grpSp>
          <xdr:nvGrpSpPr>
            <xdr:cNvPr id="45" name="Groupe 44">
              <a:extLst>
                <a:ext uri="{FF2B5EF4-FFF2-40B4-BE49-F238E27FC236}">
                  <a16:creationId xmlns:a16="http://schemas.microsoft.com/office/drawing/2014/main" id="{B1A05D02-A63F-4D68-86ED-440C310B0E97}"/>
                </a:ext>
              </a:extLst>
            </xdr:cNvPr>
            <xdr:cNvGrpSpPr/>
          </xdr:nvGrpSpPr>
          <xdr:grpSpPr>
            <a:xfrm>
              <a:off x="0" y="0"/>
              <a:ext cx="2652210" cy="16545349"/>
              <a:chOff x="0" y="0"/>
              <a:chExt cx="2652210" cy="16541616"/>
            </a:xfrm>
          </xdr:grpSpPr>
          <xdr:grpSp>
            <xdr:nvGrpSpPr>
              <xdr:cNvPr id="47" name="Groupe 46">
                <a:extLst>
                  <a:ext uri="{FF2B5EF4-FFF2-40B4-BE49-F238E27FC236}">
                    <a16:creationId xmlns:a16="http://schemas.microsoft.com/office/drawing/2014/main" id="{34A01311-306B-4AD8-B44E-1FB55D97A4E8}"/>
                  </a:ext>
                </a:extLst>
              </xdr:cNvPr>
              <xdr:cNvGrpSpPr/>
            </xdr:nvGrpSpPr>
            <xdr:grpSpPr>
              <a:xfrm>
                <a:off x="0" y="0"/>
                <a:ext cx="2652210" cy="16541616"/>
                <a:chOff x="0" y="0"/>
                <a:chExt cx="2652210" cy="16398750"/>
              </a:xfrm>
            </xdr:grpSpPr>
            <xdr:pic>
              <xdr:nvPicPr>
                <xdr:cNvPr id="49" name="Image 48">
                  <a:extLst>
                    <a:ext uri="{FF2B5EF4-FFF2-40B4-BE49-F238E27FC236}">
                      <a16:creationId xmlns:a16="http://schemas.microsoft.com/office/drawing/2014/main" id="{969BDC0E-C3EA-44DB-BC2F-BD7CFD25B88B}"/>
                    </a:ext>
                  </a:extLst>
                </xdr:cNvPr>
                <xdr:cNvPicPr>
                  <a:picLocks noChangeAspect="1"/>
                </xdr:cNvPicPr>
              </xdr:nvPicPr>
              <xdr:blipFill>
                <a:blip xmlns:r="http://schemas.openxmlformats.org/officeDocument/2006/relationships" r:embed="rId4" cstate="print">
                  <a:alphaModFix amt="50000"/>
                  <a:extLst>
                    <a:ext uri="{28A0092B-C50C-407E-A947-70E740481C1C}">
                      <a14:useLocalDpi xmlns:a14="http://schemas.microsoft.com/office/drawing/2010/main" val="0"/>
                    </a:ext>
                  </a:extLst>
                </a:blip>
                <a:stretch>
                  <a:fillRect/>
                </a:stretch>
              </xdr:blipFill>
              <xdr:spPr>
                <a:xfrm>
                  <a:off x="0" y="0"/>
                  <a:ext cx="2643187" cy="16398750"/>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0" name="Groupe 49">
                  <a:extLst>
                    <a:ext uri="{FF2B5EF4-FFF2-40B4-BE49-F238E27FC236}">
                      <a16:creationId xmlns:a16="http://schemas.microsoft.com/office/drawing/2014/main" id="{6CF75480-ADD0-4FCC-A207-9462F6E12428}"/>
                    </a:ext>
                  </a:extLst>
                </xdr:cNvPr>
                <xdr:cNvGrpSpPr/>
              </xdr:nvGrpSpPr>
              <xdr:grpSpPr>
                <a:xfrm>
                  <a:off x="8283" y="2949975"/>
                  <a:ext cx="2637419" cy="1073362"/>
                  <a:chOff x="8283" y="2972387"/>
                  <a:chExt cx="2637419" cy="1090171"/>
                </a:xfrm>
              </xdr:grpSpPr>
              <xdr:sp macro="" textlink="">
                <xdr:nvSpPr>
                  <xdr:cNvPr id="64" name="Ellipse 63">
                    <a:extLst>
                      <a:ext uri="{FF2B5EF4-FFF2-40B4-BE49-F238E27FC236}">
                        <a16:creationId xmlns:a16="http://schemas.microsoft.com/office/drawing/2014/main" id="{9EED3984-5A5E-4CB3-A14E-C22380FAA20A}"/>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5" name="ZoneTexte 64">
                    <a:extLst>
                      <a:ext uri="{FF2B5EF4-FFF2-40B4-BE49-F238E27FC236}">
                        <a16:creationId xmlns:a16="http://schemas.microsoft.com/office/drawing/2014/main" id="{95962F2C-D66E-404D-A2FF-93CACAFC6F0C}"/>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1" name="Groupe 50">
                  <a:extLst>
                    <a:ext uri="{FF2B5EF4-FFF2-40B4-BE49-F238E27FC236}">
                      <a16:creationId xmlns:a16="http://schemas.microsoft.com/office/drawing/2014/main" id="{53A74721-4F5E-447B-A275-566380325217}"/>
                    </a:ext>
                  </a:extLst>
                </xdr:cNvPr>
                <xdr:cNvGrpSpPr/>
              </xdr:nvGrpSpPr>
              <xdr:grpSpPr>
                <a:xfrm>
                  <a:off x="1775" y="4904976"/>
                  <a:ext cx="2650435" cy="1365994"/>
                  <a:chOff x="1775" y="4956803"/>
                  <a:chExt cx="2650435" cy="1382803"/>
                </a:xfrm>
              </xdr:grpSpPr>
              <xdr:sp macro="" textlink="">
                <xdr:nvSpPr>
                  <xdr:cNvPr id="62" name="Ellipse 61">
                    <a:extLst>
                      <a:ext uri="{FF2B5EF4-FFF2-40B4-BE49-F238E27FC236}">
                        <a16:creationId xmlns:a16="http://schemas.microsoft.com/office/drawing/2014/main" id="{E259B901-F3BC-4A3A-9A2D-83ACF7B1F63C}"/>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3" name="ZoneTexte 62">
                    <a:extLst>
                      <a:ext uri="{FF2B5EF4-FFF2-40B4-BE49-F238E27FC236}">
                        <a16:creationId xmlns:a16="http://schemas.microsoft.com/office/drawing/2014/main" id="{495D7F54-5C9D-492C-958A-664956A0F964}"/>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2" name="Groupe 51">
                  <a:extLst>
                    <a:ext uri="{FF2B5EF4-FFF2-40B4-BE49-F238E27FC236}">
                      <a16:creationId xmlns:a16="http://schemas.microsoft.com/office/drawing/2014/main" id="{2004CE28-FF5B-4ABF-922D-74F6CD2DEF0C}"/>
                    </a:ext>
                  </a:extLst>
                </xdr:cNvPr>
                <xdr:cNvGrpSpPr/>
              </xdr:nvGrpSpPr>
              <xdr:grpSpPr>
                <a:xfrm>
                  <a:off x="1775" y="6654494"/>
                  <a:ext cx="2650435" cy="1361792"/>
                  <a:chOff x="1775" y="6727332"/>
                  <a:chExt cx="2650435" cy="1382803"/>
                </a:xfrm>
              </xdr:grpSpPr>
              <xdr:sp macro="" textlink="">
                <xdr:nvSpPr>
                  <xdr:cNvPr id="60" name="Ellipse 59">
                    <a:extLst>
                      <a:ext uri="{FF2B5EF4-FFF2-40B4-BE49-F238E27FC236}">
                        <a16:creationId xmlns:a16="http://schemas.microsoft.com/office/drawing/2014/main" id="{5898D048-82D2-47D9-BA0A-C2400D610F07}"/>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1" name="ZoneTexte 60">
                    <a:extLst>
                      <a:ext uri="{FF2B5EF4-FFF2-40B4-BE49-F238E27FC236}">
                        <a16:creationId xmlns:a16="http://schemas.microsoft.com/office/drawing/2014/main" id="{9ED4FC28-6B2C-4B14-B0DE-74C2B16B58B3}"/>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AA40F58C-EB12-41D2-9172-17A19A53CB14}"/>
                    </a:ext>
                  </a:extLst>
                </xdr:cNvPr>
                <xdr:cNvGrpSpPr/>
              </xdr:nvGrpSpPr>
              <xdr:grpSpPr>
                <a:xfrm>
                  <a:off x="1775" y="8354988"/>
                  <a:ext cx="2650435" cy="1253934"/>
                  <a:chOff x="1775" y="8453039"/>
                  <a:chExt cx="2650435" cy="1270743"/>
                </a:xfrm>
              </xdr:grpSpPr>
              <xdr:sp macro="" textlink="">
                <xdr:nvSpPr>
                  <xdr:cNvPr id="58" name="Ellipse 57">
                    <a:extLst>
                      <a:ext uri="{FF2B5EF4-FFF2-40B4-BE49-F238E27FC236}">
                        <a16:creationId xmlns:a16="http://schemas.microsoft.com/office/drawing/2014/main" id="{475DB509-638B-4DB0-A767-3CE438D03AFE}"/>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9" name="ZoneTexte 58">
                    <a:extLst>
                      <a:ext uri="{FF2B5EF4-FFF2-40B4-BE49-F238E27FC236}">
                        <a16:creationId xmlns:a16="http://schemas.microsoft.com/office/drawing/2014/main" id="{6AD1BE98-9AE3-409D-9D6B-B5D502C63B5B}"/>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4" name="Groupe 53">
                  <a:extLst>
                    <a:ext uri="{FF2B5EF4-FFF2-40B4-BE49-F238E27FC236}">
                      <a16:creationId xmlns:a16="http://schemas.microsoft.com/office/drawing/2014/main" id="{3D075022-7489-492E-8DC1-8FDA06A6C89F}"/>
                    </a:ext>
                  </a:extLst>
                </xdr:cNvPr>
                <xdr:cNvGrpSpPr/>
              </xdr:nvGrpSpPr>
              <xdr:grpSpPr>
                <a:xfrm>
                  <a:off x="1775" y="9723905"/>
                  <a:ext cx="2650435" cy="2783261"/>
                  <a:chOff x="1775" y="9838765"/>
                  <a:chExt cx="2650435" cy="2734235"/>
                </a:xfrm>
              </xdr:grpSpPr>
              <xdr:sp macro="" textlink="">
                <xdr:nvSpPr>
                  <xdr:cNvPr id="56" name="ZoneTexte 55">
                    <a:extLst>
                      <a:ext uri="{FF2B5EF4-FFF2-40B4-BE49-F238E27FC236}">
                        <a16:creationId xmlns:a16="http://schemas.microsoft.com/office/drawing/2014/main" id="{3F3C8503-0559-49D6-AF79-4189B0322055}"/>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7" name="Image 56">
                    <a:extLst>
                      <a:ext uri="{FF2B5EF4-FFF2-40B4-BE49-F238E27FC236}">
                        <a16:creationId xmlns:a16="http://schemas.microsoft.com/office/drawing/2014/main" id="{65BA2300-5560-4404-9F8F-7D5623AD36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5" name="ZoneTexte 54">
                  <a:extLst>
                    <a:ext uri="{FF2B5EF4-FFF2-40B4-BE49-F238E27FC236}">
                      <a16:creationId xmlns:a16="http://schemas.microsoft.com/office/drawing/2014/main" id="{D791CD55-D89C-4AE0-9038-425273DACB45}"/>
                    </a:ext>
                  </a:extLst>
                </xdr:cNvPr>
                <xdr:cNvSpPr txBox="1"/>
              </xdr:nvSpPr>
              <xdr:spPr>
                <a:xfrm>
                  <a:off x="0" y="13210333"/>
                  <a:ext cx="2650435" cy="2090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 </a:t>
                  </a:r>
                  <a:r>
                    <a:rPr lang="fr-FR" sz="1400">
                      <a:latin typeface="Book Antiqua" panose="02040602050305030304" pitchFamily="18" charset="0"/>
                    </a:rPr>
                    <a:t>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8" name="Image 47">
                <a:extLst>
                  <a:ext uri="{FF2B5EF4-FFF2-40B4-BE49-F238E27FC236}">
                    <a16:creationId xmlns:a16="http://schemas.microsoft.com/office/drawing/2014/main" id="{0BDB6411-F284-4A93-AE1A-256B90F0657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6" name="Image 45">
              <a:extLst>
                <a:ext uri="{FF2B5EF4-FFF2-40B4-BE49-F238E27FC236}">
                  <a16:creationId xmlns:a16="http://schemas.microsoft.com/office/drawing/2014/main" id="{8C47093E-A7BC-49B4-A3F3-6ACD10EB64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4" name="ZoneTexte 43">
            <a:extLst>
              <a:ext uri="{FF2B5EF4-FFF2-40B4-BE49-F238E27FC236}">
                <a16:creationId xmlns:a16="http://schemas.microsoft.com/office/drawing/2014/main" id="{4254E0E1-904F-4288-91A0-7D4F0B11F1FC}"/>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31296</xdr:colOff>
      <xdr:row>12</xdr:row>
      <xdr:rowOff>38100</xdr:rowOff>
    </xdr:from>
    <xdr:to>
      <xdr:col>11</xdr:col>
      <xdr:colOff>0</xdr:colOff>
      <xdr:row>13</xdr:row>
      <xdr:rowOff>285216</xdr:rowOff>
    </xdr:to>
    <xdr:sp macro="" textlink="">
      <xdr:nvSpPr>
        <xdr:cNvPr id="66" name="Bulle narrative : rectangle 65">
          <a:extLst>
            <a:ext uri="{FF2B5EF4-FFF2-40B4-BE49-F238E27FC236}">
              <a16:creationId xmlns:a16="http://schemas.microsoft.com/office/drawing/2014/main" id="{3499F62E-C9F7-452E-A17F-16CB64ED65B4}"/>
            </a:ext>
          </a:extLst>
        </xdr:cNvPr>
        <xdr:cNvSpPr/>
      </xdr:nvSpPr>
      <xdr:spPr>
        <a:xfrm>
          <a:off x="13756821" y="4305300"/>
          <a:ext cx="2064204" cy="561441"/>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editAs="oneCell">
    <xdr:from>
      <xdr:col>7</xdr:col>
      <xdr:colOff>1125682</xdr:colOff>
      <xdr:row>17</xdr:row>
      <xdr:rowOff>173183</xdr:rowOff>
    </xdr:from>
    <xdr:to>
      <xdr:col>9</xdr:col>
      <xdr:colOff>553292</xdr:colOff>
      <xdr:row>21</xdr:row>
      <xdr:rowOff>153944</xdr:rowOff>
    </xdr:to>
    <xdr:pic>
      <xdr:nvPicPr>
        <xdr:cNvPr id="68" name="Image 67">
          <a:extLst>
            <a:ext uri="{FF2B5EF4-FFF2-40B4-BE49-F238E27FC236}">
              <a16:creationId xmlns:a16="http://schemas.microsoft.com/office/drawing/2014/main" id="{3928A300-60F5-4951-B794-4586D073BA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512137" y="5974774"/>
          <a:ext cx="3791791" cy="122767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0.09872</cdr:x>
      <cdr:y>0.00507</cdr:y>
    </cdr:from>
    <cdr:to>
      <cdr:x>0.97085</cdr:x>
      <cdr:y>0.06521</cdr:y>
    </cdr:to>
    <cdr:sp macro="" textlink="">
      <cdr:nvSpPr>
        <cdr:cNvPr id="8193" name="Text Box 1"/>
        <cdr:cNvSpPr txBox="1">
          <a:spLocks xmlns:a="http://schemas.openxmlformats.org/drawingml/2006/main" noChangeArrowheads="1"/>
        </cdr:cNvSpPr>
      </cdr:nvSpPr>
      <cdr:spPr bwMode="auto">
        <a:xfrm xmlns:a="http://schemas.openxmlformats.org/drawingml/2006/main">
          <a:off x="1171638" y="26286"/>
          <a:ext cx="10350500" cy="31181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AQUILA - F-HDJR</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114731</xdr:colOff>
      <xdr:row>24</xdr:row>
      <xdr:rowOff>13608</xdr:rowOff>
    </xdr:from>
    <xdr:to>
      <xdr:col>11</xdr:col>
      <xdr:colOff>82981</xdr:colOff>
      <xdr:row>48</xdr:row>
      <xdr:rowOff>302171</xdr:rowOff>
    </xdr:to>
    <xdr:graphicFrame macro="">
      <xdr:nvGraphicFramePr>
        <xdr:cNvPr id="2" name="Chart 1">
          <a:extLst>
            <a:ext uri="{FF2B5EF4-FFF2-40B4-BE49-F238E27FC236}">
              <a16:creationId xmlns:a16="http://schemas.microsoft.com/office/drawing/2014/main" id="{C8D71945-183D-4D13-B062-75D5B80A4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232834</xdr:colOff>
      <xdr:row>15</xdr:row>
      <xdr:rowOff>52917</xdr:rowOff>
    </xdr:from>
    <xdr:to>
      <xdr:col>2</xdr:col>
      <xdr:colOff>719668</xdr:colOff>
      <xdr:row>16</xdr:row>
      <xdr:rowOff>285751</xdr:rowOff>
    </xdr:to>
    <xdr:sp macro="" textlink="$D$23">
      <xdr:nvSpPr>
        <xdr:cNvPr id="5" name="Rectangle : coins arrondis 4">
          <a:extLst>
            <a:ext uri="{FF2B5EF4-FFF2-40B4-BE49-F238E27FC236}">
              <a16:creationId xmlns:a16="http://schemas.microsoft.com/office/drawing/2014/main" id="{94301A6E-B816-49A3-9828-7E270EEEB48A}"/>
            </a:ext>
          </a:extLst>
        </xdr:cNvPr>
        <xdr:cNvSpPr/>
      </xdr:nvSpPr>
      <xdr:spPr>
        <a:xfrm>
          <a:off x="232834" y="5302250"/>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7B926F4A-0526-4CAA-95CB-22E93FC18A55}"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86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10583</xdr:colOff>
      <xdr:row>15</xdr:row>
      <xdr:rowOff>42334</xdr:rowOff>
    </xdr:from>
    <xdr:to>
      <xdr:col>2</xdr:col>
      <xdr:colOff>941917</xdr:colOff>
      <xdr:row>15</xdr:row>
      <xdr:rowOff>306922</xdr:rowOff>
    </xdr:to>
    <xdr:sp macro="" textlink="">
      <xdr:nvSpPr>
        <xdr:cNvPr id="6" name="ZoneTexte 5">
          <a:extLst>
            <a:ext uri="{FF2B5EF4-FFF2-40B4-BE49-F238E27FC236}">
              <a16:creationId xmlns:a16="http://schemas.microsoft.com/office/drawing/2014/main" id="{3BE4E26C-4095-45AC-8588-A2B368E9231D}"/>
            </a:ext>
          </a:extLst>
        </xdr:cNvPr>
        <xdr:cNvSpPr txBox="1"/>
      </xdr:nvSpPr>
      <xdr:spPr>
        <a:xfrm>
          <a:off x="10583" y="5291667"/>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editAs="oneCell">
    <xdr:from>
      <xdr:col>7</xdr:col>
      <xdr:colOff>1361474</xdr:colOff>
      <xdr:row>19</xdr:row>
      <xdr:rowOff>77052</xdr:rowOff>
    </xdr:from>
    <xdr:to>
      <xdr:col>9</xdr:col>
      <xdr:colOff>114305</xdr:colOff>
      <xdr:row>23</xdr:row>
      <xdr:rowOff>174625</xdr:rowOff>
    </xdr:to>
    <xdr:pic>
      <xdr:nvPicPr>
        <xdr:cNvPr id="7" name="Image 6">
          <a:extLst>
            <a:ext uri="{FF2B5EF4-FFF2-40B4-BE49-F238E27FC236}">
              <a16:creationId xmlns:a16="http://schemas.microsoft.com/office/drawing/2014/main" id="{C13A67D1-2ACC-4B3A-8189-A252F98345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02349" y="6601677"/>
          <a:ext cx="3118456" cy="1367573"/>
        </a:xfrm>
        <a:prstGeom prst="rect">
          <a:avLst/>
        </a:prstGeom>
      </xdr:spPr>
    </xdr:pic>
    <xdr:clientData/>
  </xdr:twoCellAnchor>
  <xdr:twoCellAnchor>
    <xdr:from>
      <xdr:col>1</xdr:col>
      <xdr:colOff>0</xdr:colOff>
      <xdr:row>0</xdr:row>
      <xdr:rowOff>54428</xdr:rowOff>
    </xdr:from>
    <xdr:to>
      <xdr:col>2</xdr:col>
      <xdr:colOff>541215</xdr:colOff>
      <xdr:row>0</xdr:row>
      <xdr:rowOff>571499</xdr:rowOff>
    </xdr:to>
    <xdr:grpSp>
      <xdr:nvGrpSpPr>
        <xdr:cNvPr id="8" name="Groupe 7">
          <a:extLst>
            <a:ext uri="{FF2B5EF4-FFF2-40B4-BE49-F238E27FC236}">
              <a16:creationId xmlns:a16="http://schemas.microsoft.com/office/drawing/2014/main" id="{5A243F45-328F-4E88-88BF-0F787DB35706}"/>
            </a:ext>
          </a:extLst>
        </xdr:cNvPr>
        <xdr:cNvGrpSpPr/>
      </xdr:nvGrpSpPr>
      <xdr:grpSpPr>
        <a:xfrm>
          <a:off x="2846294" y="54428"/>
          <a:ext cx="2670333" cy="517071"/>
          <a:chOff x="1156608" y="20411"/>
          <a:chExt cx="2677536" cy="517071"/>
        </a:xfrm>
      </xdr:grpSpPr>
      <xdr:sp macro="" textlink="">
        <xdr:nvSpPr>
          <xdr:cNvPr id="9" name="Ellipse 8">
            <a:extLst>
              <a:ext uri="{FF2B5EF4-FFF2-40B4-BE49-F238E27FC236}">
                <a16:creationId xmlns:a16="http://schemas.microsoft.com/office/drawing/2014/main" id="{C3BD773A-9482-4C96-B700-8D39806DEEDC}"/>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0" name="Ellipse 9">
            <a:extLst>
              <a:ext uri="{FF2B5EF4-FFF2-40B4-BE49-F238E27FC236}">
                <a16:creationId xmlns:a16="http://schemas.microsoft.com/office/drawing/2014/main" id="{6BA53994-0176-4D39-80A3-C47ED80F6D15}"/>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1" name="ZoneTexte 10">
            <a:extLst>
              <a:ext uri="{FF2B5EF4-FFF2-40B4-BE49-F238E27FC236}">
                <a16:creationId xmlns:a16="http://schemas.microsoft.com/office/drawing/2014/main" id="{2384DE1B-964F-4072-9BB0-04EE6B94DA0D}"/>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2" name="ZoneTexte 11">
            <a:extLst>
              <a:ext uri="{FF2B5EF4-FFF2-40B4-BE49-F238E27FC236}">
                <a16:creationId xmlns:a16="http://schemas.microsoft.com/office/drawing/2014/main" id="{F9C63087-F045-4212-B107-DFF8E7534533}"/>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554490</xdr:colOff>
      <xdr:row>8</xdr:row>
      <xdr:rowOff>217809</xdr:rowOff>
    </xdr:from>
    <xdr:to>
      <xdr:col>2</xdr:col>
      <xdr:colOff>1044347</xdr:colOff>
      <xdr:row>10</xdr:row>
      <xdr:rowOff>87944</xdr:rowOff>
    </xdr:to>
    <xdr:sp macro="" textlink="">
      <xdr:nvSpPr>
        <xdr:cNvPr id="13" name="Ellipse 12">
          <a:extLst>
            <a:ext uri="{FF2B5EF4-FFF2-40B4-BE49-F238E27FC236}">
              <a16:creationId xmlns:a16="http://schemas.microsoft.com/office/drawing/2014/main" id="{E461DFBA-AFAF-47D4-9444-C65BA13A5D68}"/>
            </a:ext>
          </a:extLst>
        </xdr:cNvPr>
        <xdr:cNvSpPr/>
      </xdr:nvSpPr>
      <xdr:spPr>
        <a:xfrm>
          <a:off x="2685709" y="3236043"/>
          <a:ext cx="489857" cy="50116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13863</xdr:colOff>
      <xdr:row>7</xdr:row>
      <xdr:rowOff>72046</xdr:rowOff>
    </xdr:from>
    <xdr:to>
      <xdr:col>12</xdr:col>
      <xdr:colOff>509322</xdr:colOff>
      <xdr:row>8</xdr:row>
      <xdr:rowOff>250075</xdr:rowOff>
    </xdr:to>
    <xdr:sp macro="" textlink="">
      <xdr:nvSpPr>
        <xdr:cNvPr id="14" name="Ellipse 13">
          <a:extLst>
            <a:ext uri="{FF2B5EF4-FFF2-40B4-BE49-F238E27FC236}">
              <a16:creationId xmlns:a16="http://schemas.microsoft.com/office/drawing/2014/main" id="{EC9F748D-D333-46A4-8DFE-88B702CABAB9}"/>
            </a:ext>
          </a:extLst>
        </xdr:cNvPr>
        <xdr:cNvSpPr/>
      </xdr:nvSpPr>
      <xdr:spPr>
        <a:xfrm>
          <a:off x="13585346" y="2771891"/>
          <a:ext cx="495459" cy="49333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6441</xdr:colOff>
      <xdr:row>7</xdr:row>
      <xdr:rowOff>69245</xdr:rowOff>
    </xdr:from>
    <xdr:to>
      <xdr:col>7</xdr:col>
      <xdr:colOff>501901</xdr:colOff>
      <xdr:row>8</xdr:row>
      <xdr:rowOff>251475</xdr:rowOff>
    </xdr:to>
    <xdr:sp macro="" textlink="">
      <xdr:nvSpPr>
        <xdr:cNvPr id="15" name="Ellipse 14">
          <a:extLst>
            <a:ext uri="{FF2B5EF4-FFF2-40B4-BE49-F238E27FC236}">
              <a16:creationId xmlns:a16="http://schemas.microsoft.com/office/drawing/2014/main" id="{91A58A8E-F0BB-48BE-B70E-CFA225312899}"/>
            </a:ext>
          </a:extLst>
        </xdr:cNvPr>
        <xdr:cNvSpPr/>
      </xdr:nvSpPr>
      <xdr:spPr>
        <a:xfrm>
          <a:off x="6722927" y="2774345"/>
          <a:ext cx="495460" cy="49791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7266</xdr:colOff>
      <xdr:row>17</xdr:row>
      <xdr:rowOff>216854</xdr:rowOff>
    </xdr:from>
    <xdr:to>
      <xdr:col>12</xdr:col>
      <xdr:colOff>515919</xdr:colOff>
      <xdr:row>19</xdr:row>
      <xdr:rowOff>93259</xdr:rowOff>
    </xdr:to>
    <xdr:sp macro="" textlink="">
      <xdr:nvSpPr>
        <xdr:cNvPr id="16" name="Ellipse 15">
          <a:extLst>
            <a:ext uri="{FF2B5EF4-FFF2-40B4-BE49-F238E27FC236}">
              <a16:creationId xmlns:a16="http://schemas.microsoft.com/office/drawing/2014/main" id="{30A276C5-DDC1-480D-BFC7-D982CBD01EC2}"/>
            </a:ext>
          </a:extLst>
        </xdr:cNvPr>
        <xdr:cNvSpPr/>
      </xdr:nvSpPr>
      <xdr:spPr>
        <a:xfrm>
          <a:off x="13578749" y="6069802"/>
          <a:ext cx="508653" cy="50702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11</xdr:col>
      <xdr:colOff>303492</xdr:colOff>
      <xdr:row>27</xdr:row>
      <xdr:rowOff>142875</xdr:rowOff>
    </xdr:from>
    <xdr:to>
      <xdr:col>18</xdr:col>
      <xdr:colOff>95250</xdr:colOff>
      <xdr:row>40</xdr:row>
      <xdr:rowOff>204669</xdr:rowOff>
    </xdr:to>
    <xdr:grpSp>
      <xdr:nvGrpSpPr>
        <xdr:cNvPr id="18" name="Groupe 17">
          <a:extLst>
            <a:ext uri="{FF2B5EF4-FFF2-40B4-BE49-F238E27FC236}">
              <a16:creationId xmlns:a16="http://schemas.microsoft.com/office/drawing/2014/main" id="{559F80E4-0950-441D-951B-658DDC6C5AF4}"/>
            </a:ext>
          </a:extLst>
        </xdr:cNvPr>
        <xdr:cNvGrpSpPr/>
      </xdr:nvGrpSpPr>
      <xdr:grpSpPr>
        <a:xfrm>
          <a:off x="16350316" y="9107581"/>
          <a:ext cx="5080934" cy="4140735"/>
          <a:chOff x="18635382" y="9424146"/>
          <a:chExt cx="5319226" cy="5031441"/>
        </a:xfrm>
      </xdr:grpSpPr>
      <xdr:sp macro="" textlink="">
        <xdr:nvSpPr>
          <xdr:cNvPr id="20" name="Rectangle : coins arrondis 19">
            <a:extLst>
              <a:ext uri="{FF2B5EF4-FFF2-40B4-BE49-F238E27FC236}">
                <a16:creationId xmlns:a16="http://schemas.microsoft.com/office/drawing/2014/main" id="{D6B62049-D584-49EC-8206-424CF194EF64}"/>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1" name="Groupe 20">
            <a:extLst>
              <a:ext uri="{FF2B5EF4-FFF2-40B4-BE49-F238E27FC236}">
                <a16:creationId xmlns:a16="http://schemas.microsoft.com/office/drawing/2014/main" id="{21F5140C-373C-46E9-AEDD-28644062EF83}"/>
              </a:ext>
            </a:extLst>
          </xdr:cNvPr>
          <xdr:cNvGrpSpPr/>
        </xdr:nvGrpSpPr>
        <xdr:grpSpPr>
          <a:xfrm>
            <a:off x="18720133" y="9488680"/>
            <a:ext cx="5234475" cy="4602831"/>
            <a:chOff x="18126221" y="9410239"/>
            <a:chExt cx="5234475" cy="4602831"/>
          </a:xfrm>
        </xdr:grpSpPr>
        <xdr:graphicFrame macro="">
          <xdr:nvGraphicFramePr>
            <xdr:cNvPr id="22" name="Graphique 21">
              <a:extLst>
                <a:ext uri="{FF2B5EF4-FFF2-40B4-BE49-F238E27FC236}">
                  <a16:creationId xmlns:a16="http://schemas.microsoft.com/office/drawing/2014/main" id="{FE792284-3BE2-41A3-9F8A-A13CBA82831B}"/>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3" name="Graphique 22">
              <a:extLst>
                <a:ext uri="{FF2B5EF4-FFF2-40B4-BE49-F238E27FC236}">
                  <a16:creationId xmlns:a16="http://schemas.microsoft.com/office/drawing/2014/main" id="{39F0BCA5-EFE8-4DC1-A19B-D0B0EEF3D48B}"/>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4" name="Groupe 23">
              <a:extLst>
                <a:ext uri="{FF2B5EF4-FFF2-40B4-BE49-F238E27FC236}">
                  <a16:creationId xmlns:a16="http://schemas.microsoft.com/office/drawing/2014/main" id="{C93CAB50-AE37-46BD-BEA5-F70219487469}"/>
                </a:ext>
              </a:extLst>
            </xdr:cNvPr>
            <xdr:cNvGrpSpPr/>
          </xdr:nvGrpSpPr>
          <xdr:grpSpPr>
            <a:xfrm>
              <a:off x="19772054" y="13230298"/>
              <a:ext cx="2575890" cy="777055"/>
              <a:chOff x="20540874" y="13124387"/>
              <a:chExt cx="2592456" cy="779498"/>
            </a:xfrm>
          </xdr:grpSpPr>
          <xdr:sp macro="" textlink="$J$6">
            <xdr:nvSpPr>
              <xdr:cNvPr id="38" name="Rectangle : coins arrondis 37">
                <a:extLst>
                  <a:ext uri="{FF2B5EF4-FFF2-40B4-BE49-F238E27FC236}">
                    <a16:creationId xmlns:a16="http://schemas.microsoft.com/office/drawing/2014/main" id="{34E83483-3213-49B0-BBFC-1A559CB35438}"/>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D2E025C-A6AE-4814-97FF-737FA77396EF}" type="TxLink">
                  <a:rPr lang="en-US" sz="1600" b="1" i="0" u="none" strike="noStrike">
                    <a:solidFill>
                      <a:schemeClr val="bg1"/>
                    </a:solidFill>
                    <a:latin typeface="Book Antiqua"/>
                  </a:rPr>
                  <a:pPr algn="ctr"/>
                  <a:t>3 h et 49 mn</a:t>
                </a:fld>
                <a:endParaRPr lang="fr-FR" sz="2000">
                  <a:solidFill>
                    <a:schemeClr val="bg1"/>
                  </a:solidFill>
                </a:endParaRPr>
              </a:p>
            </xdr:txBody>
          </xdr:sp>
          <xdr:sp macro="" textlink="">
            <xdr:nvSpPr>
              <xdr:cNvPr id="39" name="Rectangle 38">
                <a:extLst>
                  <a:ext uri="{FF2B5EF4-FFF2-40B4-BE49-F238E27FC236}">
                    <a16:creationId xmlns:a16="http://schemas.microsoft.com/office/drawing/2014/main" id="{B75168F9-D5D6-48A4-B36A-5F218AB5E870}"/>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5" name="Groupe 24">
              <a:extLst>
                <a:ext uri="{FF2B5EF4-FFF2-40B4-BE49-F238E27FC236}">
                  <a16:creationId xmlns:a16="http://schemas.microsoft.com/office/drawing/2014/main" id="{2C3ABEC2-94BB-470C-B155-AE6DCEC0D6B5}"/>
                </a:ext>
              </a:extLst>
            </xdr:cNvPr>
            <xdr:cNvGrpSpPr/>
          </xdr:nvGrpSpPr>
          <xdr:grpSpPr>
            <a:xfrm>
              <a:off x="18126221" y="10164183"/>
              <a:ext cx="1437373" cy="3848887"/>
              <a:chOff x="21115755" y="9612658"/>
              <a:chExt cx="1446142" cy="3861555"/>
            </a:xfrm>
          </xdr:grpSpPr>
          <xdr:grpSp>
            <xdr:nvGrpSpPr>
              <xdr:cNvPr id="26" name="Groupe 25">
                <a:extLst>
                  <a:ext uri="{FF2B5EF4-FFF2-40B4-BE49-F238E27FC236}">
                    <a16:creationId xmlns:a16="http://schemas.microsoft.com/office/drawing/2014/main" id="{7689ACCE-EF66-4A37-A609-FBBE154981FA}"/>
                  </a:ext>
                </a:extLst>
              </xdr:cNvPr>
              <xdr:cNvGrpSpPr/>
            </xdr:nvGrpSpPr>
            <xdr:grpSpPr>
              <a:xfrm rot="5400000">
                <a:off x="21292935" y="9461359"/>
                <a:ext cx="1063620" cy="1366218"/>
                <a:chOff x="21097372" y="9615841"/>
                <a:chExt cx="1408044" cy="1134646"/>
              </a:xfrm>
            </xdr:grpSpPr>
            <xdr:sp macro="" textlink="Capacité_carburant_Max_09">
              <xdr:nvSpPr>
                <xdr:cNvPr id="36" name="Flèche : pentagone 35">
                  <a:extLst>
                    <a:ext uri="{FF2B5EF4-FFF2-40B4-BE49-F238E27FC236}">
                      <a16:creationId xmlns:a16="http://schemas.microsoft.com/office/drawing/2014/main" id="{048514CA-4DF2-4003-94CF-FBA2D644D14C}"/>
                    </a:ext>
                  </a:extLst>
                </xdr:cNvPr>
                <xdr:cNvSpPr/>
              </xdr:nvSpPr>
              <xdr:spPr>
                <a:xfrm>
                  <a:off x="21097372" y="9699008"/>
                  <a:ext cx="1408044" cy="952572"/>
                </a:xfrm>
                <a:prstGeom prst="homePlate">
                  <a:avLst>
                    <a:gd name="adj" fmla="val 44862"/>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396B84DB-DEC3-439A-82DA-CEFF11AE3F2B}" type="TxLink">
                    <a:rPr lang="en-US" sz="1400" b="1" i="0" u="none" strike="noStrike">
                      <a:solidFill>
                        <a:srgbClr val="000000"/>
                      </a:solidFill>
                      <a:effectLst/>
                      <a:latin typeface="Book Antiqua"/>
                    </a:rPr>
                    <a:pPr algn="ctr"/>
                    <a:t>200,0 L</a:t>
                  </a:fld>
                  <a:endParaRPr lang="fr-FR" sz="1400" b="1">
                    <a:solidFill>
                      <a:srgbClr val="002060"/>
                    </a:solidFill>
                    <a:effectLst/>
                  </a:endParaRPr>
                </a:p>
              </xdr:txBody>
            </xdr:sp>
            <xdr:sp macro="" textlink="">
              <xdr:nvSpPr>
                <xdr:cNvPr id="37" name="ZoneTexte 36">
                  <a:extLst>
                    <a:ext uri="{FF2B5EF4-FFF2-40B4-BE49-F238E27FC236}">
                      <a16:creationId xmlns:a16="http://schemas.microsoft.com/office/drawing/2014/main" id="{28ED6C85-E0D8-4B20-8C6C-224B4C7CB88E}"/>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b="1">
                      <a:solidFill>
                        <a:srgbClr val="002060"/>
                      </a:solidFill>
                      <a:latin typeface="Book Antiqua" panose="02040602050305030304" pitchFamily="18" charset="0"/>
                    </a:rPr>
                    <a:t>Total Carb.</a:t>
                  </a:r>
                </a:p>
              </xdr:txBody>
            </xdr:sp>
          </xdr:grpSp>
          <xdr:grpSp>
            <xdr:nvGrpSpPr>
              <xdr:cNvPr id="27" name="Groupe 26">
                <a:extLst>
                  <a:ext uri="{FF2B5EF4-FFF2-40B4-BE49-F238E27FC236}">
                    <a16:creationId xmlns:a16="http://schemas.microsoft.com/office/drawing/2014/main" id="{2DBA1256-F855-427D-B4D1-C2DBCA70DA05}"/>
                  </a:ext>
                </a:extLst>
              </xdr:cNvPr>
              <xdr:cNvGrpSpPr/>
            </xdr:nvGrpSpPr>
            <xdr:grpSpPr>
              <a:xfrm rot="5400000">
                <a:off x="21137289" y="10185154"/>
                <a:ext cx="1408044" cy="1441173"/>
                <a:chOff x="21128934" y="10031614"/>
                <a:chExt cx="1408044" cy="715464"/>
              </a:xfrm>
            </xdr:grpSpPr>
            <xdr:sp macro="" textlink="Carburant_utilisable_09">
              <xdr:nvSpPr>
                <xdr:cNvPr id="34" name="Flèche : chevron 33">
                  <a:extLst>
                    <a:ext uri="{FF2B5EF4-FFF2-40B4-BE49-F238E27FC236}">
                      <a16:creationId xmlns:a16="http://schemas.microsoft.com/office/drawing/2014/main" id="{A8DA8CCB-7635-4687-93B5-9B6F2F6DD2A4}"/>
                    </a:ext>
                  </a:extLst>
                </xdr:cNvPr>
                <xdr:cNvSpPr/>
              </xdr:nvSpPr>
              <xdr:spPr>
                <a:xfrm>
                  <a:off x="21128934" y="10113065"/>
                  <a:ext cx="1408044" cy="563362"/>
                </a:xfrm>
                <a:prstGeom prst="chevron">
                  <a:avLst>
                    <a:gd name="adj" fmla="val 39070"/>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6CCEDB79-D9F4-42C6-AC78-6C402203938B}" type="TxLink">
                    <a:rPr lang="en-US" sz="1400" b="1" i="0" u="none" strike="noStrike">
                      <a:solidFill>
                        <a:srgbClr val="000000"/>
                      </a:solidFill>
                      <a:effectLst/>
                      <a:latin typeface="Book Antiqua"/>
                    </a:rPr>
                    <a:pPr algn="ctr"/>
                    <a:t>188,0 L</a:t>
                  </a:fld>
                  <a:endParaRPr lang="fr-FR" sz="1400" b="1">
                    <a:solidFill>
                      <a:schemeClr val="accent6">
                        <a:lumMod val="50000"/>
                      </a:schemeClr>
                    </a:solidFill>
                    <a:effectLst/>
                  </a:endParaRPr>
                </a:p>
              </xdr:txBody>
            </xdr:sp>
            <xdr:sp macro="" textlink="">
              <xdr:nvSpPr>
                <xdr:cNvPr id="35" name="ZoneTexte 34">
                  <a:extLst>
                    <a:ext uri="{FF2B5EF4-FFF2-40B4-BE49-F238E27FC236}">
                      <a16:creationId xmlns:a16="http://schemas.microsoft.com/office/drawing/2014/main" id="{2D4D01A9-CCE4-42B0-A410-B747CE9961DA}"/>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accent6">
                          <a:lumMod val="50000"/>
                        </a:schemeClr>
                      </a:solidFill>
                      <a:latin typeface="Book Antiqua" panose="02040602050305030304" pitchFamily="18" charset="0"/>
                    </a:rPr>
                    <a:t>utilisables</a:t>
                  </a:r>
                </a:p>
              </xdr:txBody>
            </xdr:sp>
          </xdr:grpSp>
          <xdr:grpSp>
            <xdr:nvGrpSpPr>
              <xdr:cNvPr id="28" name="Groupe 27">
                <a:extLst>
                  <a:ext uri="{FF2B5EF4-FFF2-40B4-BE49-F238E27FC236}">
                    <a16:creationId xmlns:a16="http://schemas.microsoft.com/office/drawing/2014/main" id="{6A8ABD5C-53EE-46ED-8894-EF76AD635793}"/>
                  </a:ext>
                </a:extLst>
              </xdr:cNvPr>
              <xdr:cNvGrpSpPr/>
            </xdr:nvGrpSpPr>
            <xdr:grpSpPr>
              <a:xfrm rot="5400000">
                <a:off x="21119388" y="11136537"/>
                <a:ext cx="1443846" cy="1441173"/>
                <a:chOff x="21128933" y="10031614"/>
                <a:chExt cx="1443846" cy="715464"/>
              </a:xfrm>
            </xdr:grpSpPr>
            <xdr:sp macro="" textlink="$T$19">
              <xdr:nvSpPr>
                <xdr:cNvPr id="32" name="Flèche : chevron 31">
                  <a:extLst>
                    <a:ext uri="{FF2B5EF4-FFF2-40B4-BE49-F238E27FC236}">
                      <a16:creationId xmlns:a16="http://schemas.microsoft.com/office/drawing/2014/main" id="{73295325-FBFC-4036-A09E-0922E6678DEA}"/>
                    </a:ext>
                  </a:extLst>
                </xdr:cNvPr>
                <xdr:cNvSpPr/>
              </xdr:nvSpPr>
              <xdr:spPr>
                <a:xfrm>
                  <a:off x="21128933" y="10113065"/>
                  <a:ext cx="1443846" cy="563362"/>
                </a:xfrm>
                <a:prstGeom prst="chevron">
                  <a:avLst>
                    <a:gd name="adj" fmla="val 39070"/>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B6C415F1-3AAA-4ADA-8D0C-71956BACA3FB}" type="TxLink">
                    <a:rPr lang="en-US" sz="1400" b="1" i="0" u="none" strike="noStrike">
                      <a:solidFill>
                        <a:srgbClr val="C00000"/>
                      </a:solidFill>
                      <a:effectLst/>
                      <a:latin typeface="Book Antiqua"/>
                    </a:rPr>
                    <a:pPr algn="ctr"/>
                    <a:t>12 L</a:t>
                  </a:fld>
                  <a:endParaRPr lang="fr-FR" sz="1400" b="1">
                    <a:solidFill>
                      <a:srgbClr val="C00000"/>
                    </a:solidFill>
                    <a:effectLst/>
                  </a:endParaRPr>
                </a:p>
              </xdr:txBody>
            </xdr:sp>
            <xdr:sp macro="" textlink="">
              <xdr:nvSpPr>
                <xdr:cNvPr id="33" name="ZoneTexte 32">
                  <a:extLst>
                    <a:ext uri="{FF2B5EF4-FFF2-40B4-BE49-F238E27FC236}">
                      <a16:creationId xmlns:a16="http://schemas.microsoft.com/office/drawing/2014/main" id="{8B3449A0-8E57-4B81-A338-63026BE3E949}"/>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C00000"/>
                      </a:solidFill>
                      <a:latin typeface="Book Antiqua" panose="02040602050305030304" pitchFamily="18" charset="0"/>
                    </a:rPr>
                    <a:t>non utilis.</a:t>
                  </a:r>
                </a:p>
              </xdr:txBody>
            </xdr:sp>
          </xdr:grpSp>
          <xdr:grpSp>
            <xdr:nvGrpSpPr>
              <xdr:cNvPr id="29" name="Groupe 28">
                <a:extLst>
                  <a:ext uri="{FF2B5EF4-FFF2-40B4-BE49-F238E27FC236}">
                    <a16:creationId xmlns:a16="http://schemas.microsoft.com/office/drawing/2014/main" id="{40E1C0B2-AAA7-4E90-B661-8FD852B573A6}"/>
                  </a:ext>
                </a:extLst>
              </xdr:cNvPr>
              <xdr:cNvGrpSpPr/>
            </xdr:nvGrpSpPr>
            <xdr:grpSpPr>
              <a:xfrm rot="5400000">
                <a:off x="21132320" y="12049604"/>
                <a:ext cx="1408044" cy="1441173"/>
                <a:chOff x="21128935" y="10031614"/>
                <a:chExt cx="1408044" cy="715464"/>
              </a:xfrm>
            </xdr:grpSpPr>
            <xdr:sp macro="" textlink="Carburant_Bloc_09">
              <xdr:nvSpPr>
                <xdr:cNvPr id="30" name="Flèche : chevron 42">
                  <a:extLst>
                    <a:ext uri="{FF2B5EF4-FFF2-40B4-BE49-F238E27FC236}">
                      <a16:creationId xmlns:a16="http://schemas.microsoft.com/office/drawing/2014/main" id="{CEC28FFE-6A21-4EFE-8753-5631DF099A1C}"/>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1CFF1E4E-1254-4395-854B-0615E4931509}" type="TxLink">
                    <a:rPr lang="en-US" sz="1400" b="1" i="0" u="none" strike="noStrike">
                      <a:solidFill>
                        <a:srgbClr val="FFFFFF"/>
                      </a:solidFill>
                      <a:effectLst/>
                      <a:latin typeface="Book Antiqua"/>
                    </a:rPr>
                    <a:pPr algn="ctr"/>
                    <a:t>65,6 L</a:t>
                  </a:fld>
                  <a:endParaRPr lang="fr-FR" sz="1400" b="1">
                    <a:solidFill>
                      <a:srgbClr val="C00000"/>
                    </a:solidFill>
                    <a:effectLst/>
                  </a:endParaRPr>
                </a:p>
              </xdr:txBody>
            </xdr:sp>
            <xdr:sp macro="" textlink="">
              <xdr:nvSpPr>
                <xdr:cNvPr id="31" name="ZoneTexte 30">
                  <a:extLst>
                    <a:ext uri="{FF2B5EF4-FFF2-40B4-BE49-F238E27FC236}">
                      <a16:creationId xmlns:a16="http://schemas.microsoft.com/office/drawing/2014/main" id="{B3E1F394-D91B-4A5E-B037-BC2350B13475}"/>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grpSp>
    <xdr:clientData/>
  </xdr:twoCellAnchor>
  <xdr:twoCellAnchor>
    <xdr:from>
      <xdr:col>12</xdr:col>
      <xdr:colOff>586136</xdr:colOff>
      <xdr:row>27</xdr:row>
      <xdr:rowOff>214430</xdr:rowOff>
    </xdr:from>
    <xdr:to>
      <xdr:col>13</xdr:col>
      <xdr:colOff>398403</xdr:colOff>
      <xdr:row>29</xdr:row>
      <xdr:rowOff>4120</xdr:rowOff>
    </xdr:to>
    <xdr:sp macro="" textlink="">
      <xdr:nvSpPr>
        <xdr:cNvPr id="19" name="Rectangle : coins arrondis 18">
          <a:extLst>
            <a:ext uri="{FF2B5EF4-FFF2-40B4-BE49-F238E27FC236}">
              <a16:creationId xmlns:a16="http://schemas.microsoft.com/office/drawing/2014/main" id="{6632DFC0-CC6C-4C7B-9B02-3049684E03B2}"/>
            </a:ext>
          </a:extLst>
        </xdr:cNvPr>
        <xdr:cNvSpPr/>
      </xdr:nvSpPr>
      <xdr:spPr>
        <a:xfrm>
          <a:off x="17013960" y="9179136"/>
          <a:ext cx="3286090" cy="417219"/>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clientData/>
  </xdr:twoCellAnchor>
  <xdr:twoCellAnchor>
    <xdr:from>
      <xdr:col>0</xdr:col>
      <xdr:colOff>79375</xdr:colOff>
      <xdr:row>0</xdr:row>
      <xdr:rowOff>0</xdr:rowOff>
    </xdr:from>
    <xdr:to>
      <xdr:col>0</xdr:col>
      <xdr:colOff>2742195</xdr:colOff>
      <xdr:row>48</xdr:row>
      <xdr:rowOff>304799</xdr:rowOff>
    </xdr:to>
    <xdr:grpSp>
      <xdr:nvGrpSpPr>
        <xdr:cNvPr id="40" name="Groupe 39">
          <a:extLst>
            <a:ext uri="{FF2B5EF4-FFF2-40B4-BE49-F238E27FC236}">
              <a16:creationId xmlns:a16="http://schemas.microsoft.com/office/drawing/2014/main" id="{6538CB49-A5B1-4231-8703-BB624C16BEC8}"/>
            </a:ext>
          </a:extLst>
        </xdr:cNvPr>
        <xdr:cNvGrpSpPr/>
      </xdr:nvGrpSpPr>
      <xdr:grpSpPr>
        <a:xfrm>
          <a:off x="79375" y="0"/>
          <a:ext cx="2662820" cy="15858564"/>
          <a:chOff x="91967" y="0"/>
          <a:chExt cx="2662820" cy="15997728"/>
        </a:xfrm>
      </xdr:grpSpPr>
      <xdr:grpSp>
        <xdr:nvGrpSpPr>
          <xdr:cNvPr id="41" name="Groupe 40">
            <a:extLst>
              <a:ext uri="{FF2B5EF4-FFF2-40B4-BE49-F238E27FC236}">
                <a16:creationId xmlns:a16="http://schemas.microsoft.com/office/drawing/2014/main" id="{A759DD2E-98BD-47AB-81A1-BD47FF9E9A99}"/>
              </a:ext>
            </a:extLst>
          </xdr:cNvPr>
          <xdr:cNvGrpSpPr/>
        </xdr:nvGrpSpPr>
        <xdr:grpSpPr>
          <a:xfrm>
            <a:off x="102577" y="0"/>
            <a:ext cx="2652210" cy="15997728"/>
            <a:chOff x="0" y="0"/>
            <a:chExt cx="2652210" cy="16394162"/>
          </a:xfrm>
        </xdr:grpSpPr>
        <xdr:grpSp>
          <xdr:nvGrpSpPr>
            <xdr:cNvPr id="43" name="Groupe 42">
              <a:extLst>
                <a:ext uri="{FF2B5EF4-FFF2-40B4-BE49-F238E27FC236}">
                  <a16:creationId xmlns:a16="http://schemas.microsoft.com/office/drawing/2014/main" id="{DBF05D27-D93A-40BF-BC4B-3C690B4E4538}"/>
                </a:ext>
              </a:extLst>
            </xdr:cNvPr>
            <xdr:cNvGrpSpPr/>
          </xdr:nvGrpSpPr>
          <xdr:grpSpPr>
            <a:xfrm>
              <a:off x="0" y="0"/>
              <a:ext cx="2652210" cy="16394162"/>
              <a:chOff x="0" y="0"/>
              <a:chExt cx="2652210" cy="16390463"/>
            </a:xfrm>
          </xdr:grpSpPr>
          <xdr:grpSp>
            <xdr:nvGrpSpPr>
              <xdr:cNvPr id="45" name="Groupe 44">
                <a:extLst>
                  <a:ext uri="{FF2B5EF4-FFF2-40B4-BE49-F238E27FC236}">
                    <a16:creationId xmlns:a16="http://schemas.microsoft.com/office/drawing/2014/main" id="{6A134944-75E1-4863-9B5E-5DC16154E104}"/>
                  </a:ext>
                </a:extLst>
              </xdr:cNvPr>
              <xdr:cNvGrpSpPr/>
            </xdr:nvGrpSpPr>
            <xdr:grpSpPr>
              <a:xfrm>
                <a:off x="0" y="0"/>
                <a:ext cx="2652210" cy="16390463"/>
                <a:chOff x="0" y="0"/>
                <a:chExt cx="2652210" cy="16248903"/>
              </a:xfrm>
            </xdr:grpSpPr>
            <xdr:pic>
              <xdr:nvPicPr>
                <xdr:cNvPr id="47" name="Image 46">
                  <a:extLst>
                    <a:ext uri="{FF2B5EF4-FFF2-40B4-BE49-F238E27FC236}">
                      <a16:creationId xmlns:a16="http://schemas.microsoft.com/office/drawing/2014/main" id="{712519B3-7572-4023-96D0-3BFC4EB41BB6}"/>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248903"/>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48" name="Groupe 47">
                  <a:extLst>
                    <a:ext uri="{FF2B5EF4-FFF2-40B4-BE49-F238E27FC236}">
                      <a16:creationId xmlns:a16="http://schemas.microsoft.com/office/drawing/2014/main" id="{90471B64-4B6D-4DAF-879E-79A01A9DE4B8}"/>
                    </a:ext>
                  </a:extLst>
                </xdr:cNvPr>
                <xdr:cNvGrpSpPr/>
              </xdr:nvGrpSpPr>
              <xdr:grpSpPr>
                <a:xfrm>
                  <a:off x="8283" y="2949975"/>
                  <a:ext cx="2637419" cy="1073362"/>
                  <a:chOff x="8283" y="2972387"/>
                  <a:chExt cx="2637419" cy="1090171"/>
                </a:xfrm>
              </xdr:grpSpPr>
              <xdr:sp macro="" textlink="">
                <xdr:nvSpPr>
                  <xdr:cNvPr id="62" name="Ellipse 61">
                    <a:extLst>
                      <a:ext uri="{FF2B5EF4-FFF2-40B4-BE49-F238E27FC236}">
                        <a16:creationId xmlns:a16="http://schemas.microsoft.com/office/drawing/2014/main" id="{5583975A-D9BB-46C8-ACF6-15FEBB4F3EDC}"/>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3" name="ZoneTexte 62">
                    <a:extLst>
                      <a:ext uri="{FF2B5EF4-FFF2-40B4-BE49-F238E27FC236}">
                        <a16:creationId xmlns:a16="http://schemas.microsoft.com/office/drawing/2014/main" id="{F1B3C398-15AE-4E3E-B19E-D9792492914E}"/>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49" name="Groupe 48">
                  <a:extLst>
                    <a:ext uri="{FF2B5EF4-FFF2-40B4-BE49-F238E27FC236}">
                      <a16:creationId xmlns:a16="http://schemas.microsoft.com/office/drawing/2014/main" id="{D3587212-7287-4459-86DE-29D5691FDF3C}"/>
                    </a:ext>
                  </a:extLst>
                </xdr:cNvPr>
                <xdr:cNvGrpSpPr/>
              </xdr:nvGrpSpPr>
              <xdr:grpSpPr>
                <a:xfrm>
                  <a:off x="1775" y="4904976"/>
                  <a:ext cx="2650435" cy="1365994"/>
                  <a:chOff x="1775" y="4956803"/>
                  <a:chExt cx="2650435" cy="1382803"/>
                </a:xfrm>
              </xdr:grpSpPr>
              <xdr:sp macro="" textlink="">
                <xdr:nvSpPr>
                  <xdr:cNvPr id="60" name="Ellipse 59">
                    <a:extLst>
                      <a:ext uri="{FF2B5EF4-FFF2-40B4-BE49-F238E27FC236}">
                        <a16:creationId xmlns:a16="http://schemas.microsoft.com/office/drawing/2014/main" id="{BE584147-0A09-49D7-949C-DCCA1116CA08}"/>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1" name="ZoneTexte 60">
                    <a:extLst>
                      <a:ext uri="{FF2B5EF4-FFF2-40B4-BE49-F238E27FC236}">
                        <a16:creationId xmlns:a16="http://schemas.microsoft.com/office/drawing/2014/main" id="{2CF95A2A-D0E8-4690-8196-1E74FC763714}"/>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0" name="Groupe 49">
                  <a:extLst>
                    <a:ext uri="{FF2B5EF4-FFF2-40B4-BE49-F238E27FC236}">
                      <a16:creationId xmlns:a16="http://schemas.microsoft.com/office/drawing/2014/main" id="{A3AECE5F-237A-4E88-B971-49A99E2A6E7E}"/>
                    </a:ext>
                  </a:extLst>
                </xdr:cNvPr>
                <xdr:cNvGrpSpPr/>
              </xdr:nvGrpSpPr>
              <xdr:grpSpPr>
                <a:xfrm>
                  <a:off x="1775" y="6654494"/>
                  <a:ext cx="2650435" cy="1361792"/>
                  <a:chOff x="1775" y="6727332"/>
                  <a:chExt cx="2650435" cy="1382803"/>
                </a:xfrm>
              </xdr:grpSpPr>
              <xdr:sp macro="" textlink="">
                <xdr:nvSpPr>
                  <xdr:cNvPr id="58" name="Ellipse 57">
                    <a:extLst>
                      <a:ext uri="{FF2B5EF4-FFF2-40B4-BE49-F238E27FC236}">
                        <a16:creationId xmlns:a16="http://schemas.microsoft.com/office/drawing/2014/main" id="{175DE4FC-8575-46A8-9595-BB042E28C4EA}"/>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59" name="ZoneTexte 58">
                    <a:extLst>
                      <a:ext uri="{FF2B5EF4-FFF2-40B4-BE49-F238E27FC236}">
                        <a16:creationId xmlns:a16="http://schemas.microsoft.com/office/drawing/2014/main" id="{925224B7-10B5-4EA0-B7E5-C47C4BC0DB97}"/>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1" name="Groupe 50">
                  <a:extLst>
                    <a:ext uri="{FF2B5EF4-FFF2-40B4-BE49-F238E27FC236}">
                      <a16:creationId xmlns:a16="http://schemas.microsoft.com/office/drawing/2014/main" id="{93373A09-C319-4AB2-B84A-6283DD12D141}"/>
                    </a:ext>
                  </a:extLst>
                </xdr:cNvPr>
                <xdr:cNvGrpSpPr/>
              </xdr:nvGrpSpPr>
              <xdr:grpSpPr>
                <a:xfrm>
                  <a:off x="1775" y="8354988"/>
                  <a:ext cx="2650435" cy="1253934"/>
                  <a:chOff x="1775" y="8453039"/>
                  <a:chExt cx="2650435" cy="1270743"/>
                </a:xfrm>
              </xdr:grpSpPr>
              <xdr:sp macro="" textlink="">
                <xdr:nvSpPr>
                  <xdr:cNvPr id="56" name="Ellipse 55">
                    <a:extLst>
                      <a:ext uri="{FF2B5EF4-FFF2-40B4-BE49-F238E27FC236}">
                        <a16:creationId xmlns:a16="http://schemas.microsoft.com/office/drawing/2014/main" id="{DFC8A3E6-9892-4070-9B24-0ABB181ED1DD}"/>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7" name="ZoneTexte 56">
                    <a:extLst>
                      <a:ext uri="{FF2B5EF4-FFF2-40B4-BE49-F238E27FC236}">
                        <a16:creationId xmlns:a16="http://schemas.microsoft.com/office/drawing/2014/main" id="{A562461D-3B1C-431B-B79C-AFE1852A30AD}"/>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2" name="Groupe 51">
                  <a:extLst>
                    <a:ext uri="{FF2B5EF4-FFF2-40B4-BE49-F238E27FC236}">
                      <a16:creationId xmlns:a16="http://schemas.microsoft.com/office/drawing/2014/main" id="{57F7BD71-EF1D-40D2-9EF5-12C6118FA53C}"/>
                    </a:ext>
                  </a:extLst>
                </xdr:cNvPr>
                <xdr:cNvGrpSpPr/>
              </xdr:nvGrpSpPr>
              <xdr:grpSpPr>
                <a:xfrm>
                  <a:off x="1775" y="9723905"/>
                  <a:ext cx="2650435" cy="2783261"/>
                  <a:chOff x="1775" y="9838765"/>
                  <a:chExt cx="2650435" cy="2734235"/>
                </a:xfrm>
              </xdr:grpSpPr>
              <xdr:sp macro="" textlink="">
                <xdr:nvSpPr>
                  <xdr:cNvPr id="54" name="ZoneTexte 53">
                    <a:extLst>
                      <a:ext uri="{FF2B5EF4-FFF2-40B4-BE49-F238E27FC236}">
                        <a16:creationId xmlns:a16="http://schemas.microsoft.com/office/drawing/2014/main" id="{8BDEF047-1F6F-40A2-B4BA-5F272FD325C5}"/>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5" name="Image 54">
                    <a:extLst>
                      <a:ext uri="{FF2B5EF4-FFF2-40B4-BE49-F238E27FC236}">
                        <a16:creationId xmlns:a16="http://schemas.microsoft.com/office/drawing/2014/main" id="{D19789C8-D0E4-4158-A5A9-A2772690E1C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3" name="ZoneTexte 52">
                  <a:extLst>
                    <a:ext uri="{FF2B5EF4-FFF2-40B4-BE49-F238E27FC236}">
                      <a16:creationId xmlns:a16="http://schemas.microsoft.com/office/drawing/2014/main" id="{526A4A08-58C0-44FB-943F-42F469A364D4}"/>
                    </a:ext>
                  </a:extLst>
                </xdr:cNvPr>
                <xdr:cNvSpPr txBox="1"/>
              </xdr:nvSpPr>
              <xdr:spPr>
                <a:xfrm>
                  <a:off x="0" y="13210334"/>
                  <a:ext cx="2650435" cy="206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 </a:t>
                  </a:r>
                  <a:r>
                    <a:rPr lang="fr-FR" sz="1400">
                      <a:latin typeface="Book Antiqua" panose="02040602050305030304" pitchFamily="18" charset="0"/>
                    </a:rPr>
                    <a:t>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6" name="Image 45">
                <a:extLst>
                  <a:ext uri="{FF2B5EF4-FFF2-40B4-BE49-F238E27FC236}">
                    <a16:creationId xmlns:a16="http://schemas.microsoft.com/office/drawing/2014/main" id="{C764D583-6065-47DE-B785-322FF9A3C0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4" name="Image 43">
              <a:extLst>
                <a:ext uri="{FF2B5EF4-FFF2-40B4-BE49-F238E27FC236}">
                  <a16:creationId xmlns:a16="http://schemas.microsoft.com/office/drawing/2014/main" id="{1C6A2E7F-31B3-48C3-BD7A-4868AD0B8A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2" name="ZoneTexte 41">
            <a:extLst>
              <a:ext uri="{FF2B5EF4-FFF2-40B4-BE49-F238E27FC236}">
                <a16:creationId xmlns:a16="http://schemas.microsoft.com/office/drawing/2014/main" id="{F8DB3138-7053-41E2-AE53-5B35AFC09012}"/>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31750</xdr:colOff>
      <xdr:row>3</xdr:row>
      <xdr:rowOff>31750</xdr:rowOff>
    </xdr:from>
    <xdr:to>
      <xdr:col>11</xdr:col>
      <xdr:colOff>0</xdr:colOff>
      <xdr:row>4</xdr:row>
      <xdr:rowOff>273093</xdr:rowOff>
    </xdr:to>
    <xdr:sp macro="" textlink="">
      <xdr:nvSpPr>
        <xdr:cNvPr id="64" name="Bulle narrative : rectangle 63">
          <a:extLst>
            <a:ext uri="{FF2B5EF4-FFF2-40B4-BE49-F238E27FC236}">
              <a16:creationId xmlns:a16="http://schemas.microsoft.com/office/drawing/2014/main" id="{F108AC50-5CFA-4DE8-B9BE-9870DAA0500D}"/>
            </a:ext>
          </a:extLst>
        </xdr:cNvPr>
        <xdr:cNvSpPr/>
      </xdr:nvSpPr>
      <xdr:spPr>
        <a:xfrm>
          <a:off x="13971380" y="1290707"/>
          <a:ext cx="2072033" cy="556082"/>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0.09809</cdr:x>
      <cdr:y>0.00507</cdr:y>
    </cdr:from>
    <cdr:to>
      <cdr:x>0.97111</cdr:x>
      <cdr:y>0.06554</cdr:y>
    </cdr:to>
    <cdr:sp macro="" textlink="">
      <cdr:nvSpPr>
        <cdr:cNvPr id="8193" name="Text Box 1"/>
        <cdr:cNvSpPr txBox="1">
          <a:spLocks xmlns:a="http://schemas.openxmlformats.org/drawingml/2006/main" noChangeArrowheads="1"/>
        </cdr:cNvSpPr>
      </cdr:nvSpPr>
      <cdr:spPr bwMode="auto">
        <a:xfrm xmlns:a="http://schemas.openxmlformats.org/drawingml/2006/main">
          <a:off x="1164167" y="26395"/>
          <a:ext cx="10361083" cy="314824"/>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SR22 GTS - N576CD</a:t>
          </a:r>
        </a:p>
      </cdr:txBody>
    </cdr:sp>
  </cdr:relSizeAnchor>
  <cdr:relSizeAnchor xmlns:cdr="http://schemas.openxmlformats.org/drawingml/2006/chartDrawing">
    <cdr:from>
      <cdr:x>0.10535</cdr:x>
      <cdr:y>0.08664</cdr:y>
    </cdr:from>
    <cdr:to>
      <cdr:x>0.34416</cdr:x>
      <cdr:y>0.19207</cdr:y>
    </cdr:to>
    <cdr:grpSp>
      <cdr:nvGrpSpPr>
        <cdr:cNvPr id="3" name="Groupe 2">
          <a:extLst xmlns:a="http://schemas.openxmlformats.org/drawingml/2006/main">
            <a:ext uri="{FF2B5EF4-FFF2-40B4-BE49-F238E27FC236}">
              <a16:creationId xmlns:a16="http://schemas.microsoft.com/office/drawing/2014/main" id="{B41730BC-6CCA-4C80-9A57-3836DC1F29EC}"/>
            </a:ext>
          </a:extLst>
        </cdr:cNvPr>
        <cdr:cNvGrpSpPr/>
      </cdr:nvGrpSpPr>
      <cdr:grpSpPr>
        <a:xfrm xmlns:a="http://schemas.openxmlformats.org/drawingml/2006/main">
          <a:off x="1387331" y="677431"/>
          <a:ext cx="3144836" cy="824348"/>
          <a:chOff x="0" y="0"/>
          <a:chExt cx="3134777" cy="825853"/>
        </a:xfrm>
      </cdr:grpSpPr>
      <cdr:sp macro="" textlink="">
        <cdr:nvSpPr>
          <cdr:cNvPr id="4" name="Rectangle 3">
            <a:extLst xmlns:a="http://schemas.openxmlformats.org/drawingml/2006/main">
              <a:ext uri="{FF2B5EF4-FFF2-40B4-BE49-F238E27FC236}">
                <a16:creationId xmlns:a16="http://schemas.microsoft.com/office/drawing/2014/main" id="{04B92A69-AE91-4BCC-9C85-2B22A21FE51F}"/>
              </a:ext>
            </a:extLst>
          </cdr:cNvPr>
          <cdr:cNvSpPr/>
        </cdr:nvSpPr>
        <cdr:spPr>
          <a:xfrm xmlns:a="http://schemas.openxmlformats.org/drawingml/2006/main">
            <a:off x="93197" y="0"/>
            <a:ext cx="3041580" cy="8258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xmlns:a="http://schemas.openxmlformats.org/drawingml/2006/main">
            <a:pPr algn="l"/>
            <a:endParaRPr lang="fr-FR" sz="1300" baseline="0">
              <a:solidFill>
                <a:srgbClr val="C00000"/>
              </a:solidFill>
              <a:latin typeface="Book Antiqua" panose="02040602050305030304" pitchFamily="18" charset="0"/>
            </a:endParaRPr>
          </a:p>
          <a:p xmlns:a="http://schemas.openxmlformats.org/drawingml/2006/main">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cdr:txBody>
      </cdr:sp>
      <cdr:sp macro="" textlink="">
        <cdr:nvSpPr>
          <cdr:cNvPr id="5" name="Rectangle 4">
            <a:extLst xmlns:a="http://schemas.openxmlformats.org/drawingml/2006/main">
              <a:ext uri="{FF2B5EF4-FFF2-40B4-BE49-F238E27FC236}">
                <a16:creationId xmlns:a16="http://schemas.microsoft.com/office/drawing/2014/main" id="{CBEEA25C-9284-4D64-82D3-1999963A755A}"/>
              </a:ext>
            </a:extLst>
          </cdr:cNvPr>
          <cdr:cNvSpPr/>
        </cdr:nvSpPr>
        <cdr:spPr>
          <a:xfrm xmlns:a="http://schemas.openxmlformats.org/drawingml/2006/main" rot="2749803" flipH="1">
            <a:off x="1515" y="88839"/>
            <a:ext cx="111871" cy="114901"/>
          </a:xfrm>
          <a:prstGeom xmlns:a="http://schemas.openxmlformats.org/drawingml/2006/main" prst="rect">
            <a:avLst/>
          </a:prstGeom>
          <a:solidFill xmlns:a="http://schemas.openxmlformats.org/drawingml/2006/main">
            <a:srgbClr val="C00000"/>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sp macro="" textlink="">
        <cdr:nvSpPr>
          <cdr:cNvPr id="6" name="Rectangle 5">
            <a:extLst xmlns:a="http://schemas.openxmlformats.org/drawingml/2006/main">
              <a:ext uri="{FF2B5EF4-FFF2-40B4-BE49-F238E27FC236}">
                <a16:creationId xmlns:a16="http://schemas.microsoft.com/office/drawing/2014/main" id="{123E5AC9-A68F-4446-BF40-EA8614740A94}"/>
              </a:ext>
            </a:extLst>
          </cdr:cNvPr>
          <cdr:cNvSpPr/>
        </cdr:nvSpPr>
        <cdr:spPr>
          <a:xfrm xmlns:a="http://schemas.openxmlformats.org/drawingml/2006/main" rot="2749803" flipH="1">
            <a:off x="3608" y="490633"/>
            <a:ext cx="114485" cy="114901"/>
          </a:xfrm>
          <a:prstGeom xmlns:a="http://schemas.openxmlformats.org/drawingml/2006/main" prst="rect">
            <a:avLst/>
          </a:prstGeom>
          <a:solidFill xmlns:a="http://schemas.openxmlformats.org/drawingml/2006/main">
            <a:schemeClr val="accent2">
              <a:lumMod val="50000"/>
            </a:schemeClr>
          </a:solidFill>
          <a:ln xmlns:a="http://schemas.openxmlformats.org/drawingml/2006/main">
            <a:solidFill>
              <a:schemeClr val="accent2">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grp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xdr:row>
      <xdr:rowOff>151961</xdr:rowOff>
    </xdr:from>
    <xdr:to>
      <xdr:col>20</xdr:col>
      <xdr:colOff>19905</xdr:colOff>
      <xdr:row>13</xdr:row>
      <xdr:rowOff>64434</xdr:rowOff>
    </xdr:to>
    <xdr:grpSp>
      <xdr:nvGrpSpPr>
        <xdr:cNvPr id="23" name="Groupe 22">
          <a:extLst>
            <a:ext uri="{FF2B5EF4-FFF2-40B4-BE49-F238E27FC236}">
              <a16:creationId xmlns:a16="http://schemas.microsoft.com/office/drawing/2014/main" id="{132AC6A5-A0FC-4CD1-9127-6C8183DA395D}"/>
            </a:ext>
          </a:extLst>
        </xdr:cNvPr>
        <xdr:cNvGrpSpPr/>
      </xdr:nvGrpSpPr>
      <xdr:grpSpPr>
        <a:xfrm>
          <a:off x="0" y="779490"/>
          <a:ext cx="15259905" cy="3363885"/>
          <a:chOff x="0" y="777890"/>
          <a:chExt cx="15259905" cy="3355080"/>
        </a:xfrm>
      </xdr:grpSpPr>
      <xdr:grpSp>
        <xdr:nvGrpSpPr>
          <xdr:cNvPr id="21" name="Groupe 20">
            <a:extLst>
              <a:ext uri="{FF2B5EF4-FFF2-40B4-BE49-F238E27FC236}">
                <a16:creationId xmlns:a16="http://schemas.microsoft.com/office/drawing/2014/main" id="{CC71FA1A-90A0-4FDC-A930-D3C7019EAF53}"/>
              </a:ext>
            </a:extLst>
          </xdr:cNvPr>
          <xdr:cNvGrpSpPr/>
        </xdr:nvGrpSpPr>
        <xdr:grpSpPr>
          <a:xfrm>
            <a:off x="0" y="777890"/>
            <a:ext cx="15259905" cy="1363348"/>
            <a:chOff x="0" y="777890"/>
            <a:chExt cx="15259905" cy="1363348"/>
          </a:xfrm>
        </xdr:grpSpPr>
        <xdr:pic>
          <xdr:nvPicPr>
            <xdr:cNvPr id="17" name="Image 16">
              <a:extLst>
                <a:ext uri="{FF2B5EF4-FFF2-40B4-BE49-F238E27FC236}">
                  <a16:creationId xmlns:a16="http://schemas.microsoft.com/office/drawing/2014/main" id="{0A74EC46-15B6-450A-8877-AED0C2BCA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4784" y="779207"/>
              <a:ext cx="6905121" cy="1360715"/>
            </a:xfrm>
            <a:prstGeom prst="rect">
              <a:avLst/>
            </a:prstGeom>
            <a:effectLst>
              <a:outerShdw blurRad="50800" dist="38100" dir="8100000" algn="tr" rotWithShape="0">
                <a:prstClr val="black">
                  <a:alpha val="40000"/>
                </a:prstClr>
              </a:outerShdw>
            </a:effectLst>
          </xdr:spPr>
        </xdr:pic>
        <xdr:pic>
          <xdr:nvPicPr>
            <xdr:cNvPr id="3" name="Image 2">
              <a:extLst>
                <a:ext uri="{FF2B5EF4-FFF2-40B4-BE49-F238E27FC236}">
                  <a16:creationId xmlns:a16="http://schemas.microsoft.com/office/drawing/2014/main" id="{728D87E8-5667-4C6E-B601-DD94FF30CD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7890"/>
              <a:ext cx="6887308" cy="1363348"/>
            </a:xfrm>
            <a:prstGeom prst="rect">
              <a:avLst/>
            </a:prstGeom>
            <a:effectLst>
              <a:outerShdw blurRad="50800" dist="38100" dir="8100000" algn="tr" rotWithShape="0">
                <a:prstClr val="black">
                  <a:alpha val="40000"/>
                </a:prstClr>
              </a:outerShdw>
            </a:effectLst>
          </xdr:spPr>
        </xdr:pic>
      </xdr:grpSp>
      <xdr:grpSp>
        <xdr:nvGrpSpPr>
          <xdr:cNvPr id="22" name="Groupe 21">
            <a:extLst>
              <a:ext uri="{FF2B5EF4-FFF2-40B4-BE49-F238E27FC236}">
                <a16:creationId xmlns:a16="http://schemas.microsoft.com/office/drawing/2014/main" id="{9EB372F2-645C-44EC-8C0B-94504CC1583E}"/>
              </a:ext>
            </a:extLst>
          </xdr:cNvPr>
          <xdr:cNvGrpSpPr/>
        </xdr:nvGrpSpPr>
        <xdr:grpSpPr>
          <a:xfrm>
            <a:off x="5478574" y="2209710"/>
            <a:ext cx="4266735" cy="1923260"/>
            <a:chOff x="5478574" y="2209710"/>
            <a:chExt cx="4266735" cy="1923260"/>
          </a:xfrm>
        </xdr:grpSpPr>
        <xdr:sp macro="" textlink="">
          <xdr:nvSpPr>
            <xdr:cNvPr id="20" name="Organigramme : Alternative 19">
              <a:extLst>
                <a:ext uri="{FF2B5EF4-FFF2-40B4-BE49-F238E27FC236}">
                  <a16:creationId xmlns:a16="http://schemas.microsoft.com/office/drawing/2014/main" id="{9F2E8FDA-4E4E-4DFA-874E-C8BD65AE36D3}"/>
                </a:ext>
              </a:extLst>
            </xdr:cNvPr>
            <xdr:cNvSpPr/>
          </xdr:nvSpPr>
          <xdr:spPr>
            <a:xfrm>
              <a:off x="5573042" y="3109871"/>
              <a:ext cx="4083051" cy="1023099"/>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vous indiquez la </a:t>
              </a:r>
              <a:r>
                <a:rPr lang="fr-FR" sz="1200" b="1" baseline="0">
                  <a:solidFill>
                    <a:srgbClr val="002060"/>
                  </a:solidFill>
                  <a:latin typeface="Book Antiqua" panose="02040602050305030304" pitchFamily="18" charset="0"/>
                </a:rPr>
                <a:t>durée</a:t>
              </a:r>
              <a:r>
                <a:rPr lang="fr-FR" sz="1200" baseline="0">
                  <a:solidFill>
                    <a:srgbClr val="002060"/>
                  </a:solidFill>
                  <a:latin typeface="Book Antiqua" panose="02040602050305030304" pitchFamily="18" charset="0"/>
                </a:rPr>
                <a:t> de vol estimée, le </a:t>
              </a:r>
              <a:r>
                <a:rPr lang="fr-FR" sz="1200" b="1" baseline="0">
                  <a:solidFill>
                    <a:srgbClr val="002060"/>
                  </a:solidFill>
                  <a:latin typeface="Book Antiqua" panose="02040602050305030304" pitchFamily="18" charset="0"/>
                </a:rPr>
                <a:t>nombre d'aérodrome</a:t>
              </a:r>
              <a:r>
                <a:rPr lang="fr-FR" sz="1200" baseline="0">
                  <a:solidFill>
                    <a:srgbClr val="002060"/>
                  </a:solidFill>
                  <a:latin typeface="Book Antiqua" panose="02040602050305030304" pitchFamily="18" charset="0"/>
                </a:rPr>
                <a:t>s sur lesquels vous prévoyez de vous poser et le calcul du besoin en carburant se fera automatiquement.</a:t>
              </a:r>
            </a:p>
          </xdr:txBody>
        </xdr:sp>
        <xdr:sp macro="" textlink="">
          <xdr:nvSpPr>
            <xdr:cNvPr id="38" name="Flèche : gauche 37">
              <a:extLst>
                <a:ext uri="{FF2B5EF4-FFF2-40B4-BE49-F238E27FC236}">
                  <a16:creationId xmlns:a16="http://schemas.microsoft.com/office/drawing/2014/main" id="{477F8D05-A9A2-4365-A179-55A782D2ADF0}"/>
                </a:ext>
              </a:extLst>
            </xdr:cNvPr>
            <xdr:cNvSpPr/>
          </xdr:nvSpPr>
          <xdr:spPr>
            <a:xfrm rot="5400000">
              <a:off x="5532737" y="2155547"/>
              <a:ext cx="788670"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9" name="Flèche : gauche 38">
              <a:extLst>
                <a:ext uri="{FF2B5EF4-FFF2-40B4-BE49-F238E27FC236}">
                  <a16:creationId xmlns:a16="http://schemas.microsoft.com/office/drawing/2014/main" id="{63D52CC5-44AA-4488-A79A-85A0723362AE}"/>
                </a:ext>
              </a:extLst>
            </xdr:cNvPr>
            <xdr:cNvSpPr/>
          </xdr:nvSpPr>
          <xdr:spPr>
            <a:xfrm rot="5400000">
              <a:off x="8901865" y="2164482"/>
              <a:ext cx="788670"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clientData/>
  </xdr:twoCellAnchor>
  <xdr:twoCellAnchor editAs="oneCell">
    <xdr:from>
      <xdr:col>1</xdr:col>
      <xdr:colOff>666750</xdr:colOff>
      <xdr:row>8</xdr:row>
      <xdr:rowOff>68037</xdr:rowOff>
    </xdr:from>
    <xdr:to>
      <xdr:col>3</xdr:col>
      <xdr:colOff>412750</xdr:colOff>
      <xdr:row>12</xdr:row>
      <xdr:rowOff>172901</xdr:rowOff>
    </xdr:to>
    <xdr:pic>
      <xdr:nvPicPr>
        <xdr:cNvPr id="46" name="Image 45">
          <a:extLst>
            <a:ext uri="{FF2B5EF4-FFF2-40B4-BE49-F238E27FC236}">
              <a16:creationId xmlns:a16="http://schemas.microsoft.com/office/drawing/2014/main" id="{FA9FED6C-6DDE-46A5-B68B-3454CBF522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8750" y="2571751"/>
          <a:ext cx="1270000" cy="1356721"/>
        </a:xfrm>
        <a:prstGeom prst="rect">
          <a:avLst/>
        </a:prstGeom>
        <a:effectLst>
          <a:outerShdw blurRad="50800" dist="38100" dir="2700000" algn="tl" rotWithShape="0">
            <a:prstClr val="black">
              <a:alpha val="40000"/>
            </a:prstClr>
          </a:outerShdw>
        </a:effectLst>
      </xdr:spPr>
    </xdr:pic>
    <xdr:clientData/>
  </xdr:twoCellAnchor>
  <xdr:twoCellAnchor editAs="oneCell">
    <xdr:from>
      <xdr:col>14</xdr:col>
      <xdr:colOff>27214</xdr:colOff>
      <xdr:row>7</xdr:row>
      <xdr:rowOff>272143</xdr:rowOff>
    </xdr:from>
    <xdr:to>
      <xdr:col>19</xdr:col>
      <xdr:colOff>686712</xdr:colOff>
      <xdr:row>12</xdr:row>
      <xdr:rowOff>281250</xdr:rowOff>
    </xdr:to>
    <xdr:pic>
      <xdr:nvPicPr>
        <xdr:cNvPr id="47" name="Image 46">
          <a:extLst>
            <a:ext uri="{FF2B5EF4-FFF2-40B4-BE49-F238E27FC236}">
              <a16:creationId xmlns:a16="http://schemas.microsoft.com/office/drawing/2014/main" id="{26C700B0-E81D-4E94-92A8-2E90D0402B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695214" y="2462893"/>
          <a:ext cx="4469498" cy="1573928"/>
        </a:xfrm>
        <a:prstGeom prst="rect">
          <a:avLst/>
        </a:prstGeom>
      </xdr:spPr>
    </xdr:pic>
    <xdr:clientData/>
  </xdr:twoCellAnchor>
  <xdr:twoCellAnchor>
    <xdr:from>
      <xdr:col>13</xdr:col>
      <xdr:colOff>544286</xdr:colOff>
      <xdr:row>8</xdr:row>
      <xdr:rowOff>2</xdr:rowOff>
    </xdr:from>
    <xdr:to>
      <xdr:col>18</xdr:col>
      <xdr:colOff>707571</xdr:colOff>
      <xdr:row>12</xdr:row>
      <xdr:rowOff>122467</xdr:rowOff>
    </xdr:to>
    <xdr:sp macro="" textlink="">
      <xdr:nvSpPr>
        <xdr:cNvPr id="48" name="ZoneTexte 47">
          <a:extLst>
            <a:ext uri="{FF2B5EF4-FFF2-40B4-BE49-F238E27FC236}">
              <a16:creationId xmlns:a16="http://schemas.microsoft.com/office/drawing/2014/main" id="{30AD8E9F-724E-452A-AEB4-FA7D414876C0}"/>
            </a:ext>
          </a:extLst>
        </xdr:cNvPr>
        <xdr:cNvSpPr txBox="1"/>
      </xdr:nvSpPr>
      <xdr:spPr>
        <a:xfrm rot="20622338">
          <a:off x="10450286" y="2503716"/>
          <a:ext cx="3973285" cy="1374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solidFill>
                <a:schemeClr val="bg2">
                  <a:lumMod val="50000"/>
                </a:schemeClr>
              </a:solidFill>
              <a:effectLst>
                <a:glow rad="139700">
                  <a:schemeClr val="bg1"/>
                </a:glow>
              </a:effectLst>
              <a:latin typeface="Book Antiqua" panose="02040602050305030304" pitchFamily="18" charset="0"/>
            </a:rPr>
            <a:t>AVION EXEMPLE</a:t>
          </a:r>
        </a:p>
      </xdr:txBody>
    </xdr:sp>
    <xdr:clientData/>
  </xdr:twoCellAnchor>
  <xdr:twoCellAnchor>
    <xdr:from>
      <xdr:col>0</xdr:col>
      <xdr:colOff>1</xdr:colOff>
      <xdr:row>13</xdr:row>
      <xdr:rowOff>217713</xdr:rowOff>
    </xdr:from>
    <xdr:to>
      <xdr:col>20</xdr:col>
      <xdr:colOff>54428</xdr:colOff>
      <xdr:row>57</xdr:row>
      <xdr:rowOff>145597</xdr:rowOff>
    </xdr:to>
    <xdr:grpSp>
      <xdr:nvGrpSpPr>
        <xdr:cNvPr id="7" name="Groupe 6">
          <a:extLst>
            <a:ext uri="{FF2B5EF4-FFF2-40B4-BE49-F238E27FC236}">
              <a16:creationId xmlns:a16="http://schemas.microsoft.com/office/drawing/2014/main" id="{DACA3F9D-6F9A-4C7A-8E38-CD98C4FC54B4}"/>
            </a:ext>
          </a:extLst>
        </xdr:cNvPr>
        <xdr:cNvGrpSpPr/>
      </xdr:nvGrpSpPr>
      <xdr:grpSpPr>
        <a:xfrm>
          <a:off x="1" y="4296654"/>
          <a:ext cx="15294427" cy="13733531"/>
          <a:chOff x="1" y="4303938"/>
          <a:chExt cx="15294427" cy="13758184"/>
        </a:xfrm>
      </xdr:grpSpPr>
      <xdr:grpSp>
        <xdr:nvGrpSpPr>
          <xdr:cNvPr id="25" name="Groupe 24">
            <a:extLst>
              <a:ext uri="{FF2B5EF4-FFF2-40B4-BE49-F238E27FC236}">
                <a16:creationId xmlns:a16="http://schemas.microsoft.com/office/drawing/2014/main" id="{8A83BDF6-B6E8-4159-8ECA-A6C7C02B5FB1}"/>
              </a:ext>
            </a:extLst>
          </xdr:cNvPr>
          <xdr:cNvGrpSpPr/>
        </xdr:nvGrpSpPr>
        <xdr:grpSpPr>
          <a:xfrm>
            <a:off x="1" y="4303938"/>
            <a:ext cx="15294427" cy="8221008"/>
            <a:chOff x="1" y="4286249"/>
            <a:chExt cx="15294427" cy="8185629"/>
          </a:xfrm>
        </xdr:grpSpPr>
        <xdr:grpSp>
          <xdr:nvGrpSpPr>
            <xdr:cNvPr id="24" name="Groupe 23">
              <a:extLst>
                <a:ext uri="{FF2B5EF4-FFF2-40B4-BE49-F238E27FC236}">
                  <a16:creationId xmlns:a16="http://schemas.microsoft.com/office/drawing/2014/main" id="{74CA3861-9447-4CAF-96D6-19337919B6E2}"/>
                </a:ext>
              </a:extLst>
            </xdr:cNvPr>
            <xdr:cNvGrpSpPr/>
          </xdr:nvGrpSpPr>
          <xdr:grpSpPr>
            <a:xfrm>
              <a:off x="1" y="4286249"/>
              <a:ext cx="15294427" cy="7742465"/>
              <a:chOff x="1" y="4286249"/>
              <a:chExt cx="15294427" cy="7742465"/>
            </a:xfrm>
          </xdr:grpSpPr>
          <xdr:pic>
            <xdr:nvPicPr>
              <xdr:cNvPr id="10" name="Image 9">
                <a:extLst>
                  <a:ext uri="{FF2B5EF4-FFF2-40B4-BE49-F238E27FC236}">
                    <a16:creationId xmlns:a16="http://schemas.microsoft.com/office/drawing/2014/main" id="{76ECCA72-4C6E-4DAF-90CD-41BEEBDEEFB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22428" y="4380787"/>
                <a:ext cx="4572000" cy="7647927"/>
              </a:xfrm>
              <a:prstGeom prst="rect">
                <a:avLst/>
              </a:prstGeom>
              <a:effectLst>
                <a:outerShdw blurRad="50800" dist="38100" dir="8100000" algn="tr" rotWithShape="0">
                  <a:prstClr val="black">
                    <a:alpha val="40000"/>
                  </a:prstClr>
                </a:outerShdw>
              </a:effectLst>
            </xdr:spPr>
          </xdr:pic>
          <xdr:pic>
            <xdr:nvPicPr>
              <xdr:cNvPr id="8" name="Image 7">
                <a:extLst>
                  <a:ext uri="{FF2B5EF4-FFF2-40B4-BE49-F238E27FC236}">
                    <a16:creationId xmlns:a16="http://schemas.microsoft.com/office/drawing/2014/main" id="{FBE8F120-1944-4A4D-9738-B424D9F2D82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 y="4286249"/>
                <a:ext cx="4503964" cy="7742465"/>
              </a:xfrm>
              <a:prstGeom prst="rect">
                <a:avLst/>
              </a:prstGeom>
              <a:effectLst>
                <a:outerShdw blurRad="50800" dist="38100" dir="8100000" algn="tr" rotWithShape="0">
                  <a:prstClr val="black">
                    <a:alpha val="40000"/>
                  </a:prstClr>
                </a:outerShdw>
              </a:effectLst>
            </xdr:spPr>
          </xdr:pic>
        </xdr:grpSp>
        <xdr:grpSp>
          <xdr:nvGrpSpPr>
            <xdr:cNvPr id="43" name="Groupe 42">
              <a:extLst>
                <a:ext uri="{FF2B5EF4-FFF2-40B4-BE49-F238E27FC236}">
                  <a16:creationId xmlns:a16="http://schemas.microsoft.com/office/drawing/2014/main" id="{E0BF13E4-61A8-4A40-A2CF-F6F64FFAA17A}"/>
                </a:ext>
              </a:extLst>
            </xdr:cNvPr>
            <xdr:cNvGrpSpPr/>
          </xdr:nvGrpSpPr>
          <xdr:grpSpPr>
            <a:xfrm>
              <a:off x="4560035" y="4342392"/>
              <a:ext cx="6084153" cy="8129486"/>
              <a:chOff x="4560035" y="4810739"/>
              <a:chExt cx="6084153" cy="8164602"/>
            </a:xfrm>
          </xdr:grpSpPr>
          <xdr:grpSp>
            <xdr:nvGrpSpPr>
              <xdr:cNvPr id="40" name="Groupe 39">
                <a:extLst>
                  <a:ext uri="{FF2B5EF4-FFF2-40B4-BE49-F238E27FC236}">
                    <a16:creationId xmlns:a16="http://schemas.microsoft.com/office/drawing/2014/main" id="{61858AA5-A22A-4A9B-85C8-ADD6C14C97B1}"/>
                  </a:ext>
                </a:extLst>
              </xdr:cNvPr>
              <xdr:cNvGrpSpPr/>
            </xdr:nvGrpSpPr>
            <xdr:grpSpPr>
              <a:xfrm>
                <a:off x="4560035" y="4810739"/>
                <a:ext cx="6084152" cy="3456961"/>
                <a:chOff x="4560035" y="4810739"/>
                <a:chExt cx="6084152" cy="3456961"/>
              </a:xfrm>
            </xdr:grpSpPr>
            <xdr:sp macro="" textlink="">
              <xdr:nvSpPr>
                <xdr:cNvPr id="6" name="Organigramme : Alternative 5">
                  <a:extLst>
                    <a:ext uri="{FF2B5EF4-FFF2-40B4-BE49-F238E27FC236}">
                      <a16:creationId xmlns:a16="http://schemas.microsoft.com/office/drawing/2014/main" id="{84F47899-AC02-461A-A818-24CCF95627A5}"/>
                    </a:ext>
                  </a:extLst>
                </xdr:cNvPr>
                <xdr:cNvSpPr/>
              </xdr:nvSpPr>
              <xdr:spPr>
                <a:xfrm>
                  <a:off x="5523150" y="4810739"/>
                  <a:ext cx="4186497" cy="3456961"/>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vous indiquez seulement le carburant que vous avez embarqué dans chacun des réservoirs,</a:t>
                  </a:r>
                  <a:br>
                    <a:rPr lang="fr-FR" sz="1200" baseline="0">
                      <a:solidFill>
                        <a:srgbClr val="002060"/>
                      </a:solidFill>
                      <a:latin typeface="Book Antiqua" panose="02040602050305030304" pitchFamily="18" charset="0"/>
                    </a:rPr>
                  </a:br>
                  <a:r>
                    <a:rPr lang="fr-FR" sz="1200" baseline="0">
                      <a:solidFill>
                        <a:srgbClr val="002060"/>
                      </a:solidFill>
                      <a:latin typeface="Book Antiqua" panose="02040602050305030304" pitchFamily="18" charset="0"/>
                    </a:rPr>
                    <a:t>Dans ce cas précis les 2 réservoirs de l'avion sont pleins.</a:t>
                  </a:r>
                </a:p>
                <a:p>
                  <a:pPr algn="l"/>
                  <a:r>
                    <a:rPr lang="fr-FR" sz="1200" baseline="0">
                      <a:solidFill>
                        <a:srgbClr val="002060"/>
                      </a:solidFill>
                      <a:latin typeface="Book Antiqua" panose="02040602050305030304" pitchFamily="18" charset="0"/>
                    </a:rPr>
                    <a:t>La capacité utilisable indiquée ici est inférieure à la capacité totale conformément au manuel de l'avion et c'est celle qui est prise en compte pour les consommations en fonction des différents critères définis ci dessous.</a:t>
                  </a:r>
                  <a:br>
                    <a:rPr lang="fr-FR" sz="1200" baseline="0">
                      <a:solidFill>
                        <a:srgbClr val="002060"/>
                      </a:solidFill>
                      <a:latin typeface="Book Antiqua" panose="02040602050305030304" pitchFamily="18" charset="0"/>
                    </a:rPr>
                  </a:br>
                  <a:r>
                    <a:rPr lang="fr-FR" sz="1200" baseline="0">
                      <a:solidFill>
                        <a:srgbClr val="002060"/>
                      </a:solidFill>
                      <a:latin typeface="Book Antiqua" panose="02040602050305030304" pitchFamily="18" charset="0"/>
                    </a:rPr>
                    <a:t>En revanche c'est bien la capacité totale qui est prise en compte pour la masse et centrage de l'avion.</a:t>
                  </a:r>
                </a:p>
                <a:p>
                  <a:pPr algn="l"/>
                  <a:r>
                    <a:rPr lang="fr-FR" sz="1200" baseline="0">
                      <a:solidFill>
                        <a:srgbClr val="002060"/>
                      </a:solidFill>
                      <a:latin typeface="Book Antiqua" panose="02040602050305030304" pitchFamily="18" charset="0"/>
                    </a:rPr>
                    <a:t>Si les chiffres indiqués sont bons, un message vous indique que la capacité des réservoirs est respectée !</a:t>
                  </a:r>
                </a:p>
                <a:p>
                  <a:pPr algn="l"/>
                  <a:r>
                    <a:rPr lang="fr-FR" sz="1200" b="1" baseline="0">
                      <a:solidFill>
                        <a:srgbClr val="FF0000"/>
                      </a:solidFill>
                      <a:latin typeface="Book Antiqua" panose="02040602050305030304" pitchFamily="18" charset="0"/>
                    </a:rPr>
                    <a:t>A contrario un message d'erreur s'affiche et vous devez corriger les éléments concernés !</a:t>
                  </a:r>
                  <a:endParaRPr lang="fr-FR" sz="1200" b="1">
                    <a:solidFill>
                      <a:srgbClr val="FF0000"/>
                    </a:solidFill>
                    <a:latin typeface="Book Antiqua" panose="02040602050305030304" pitchFamily="18" charset="0"/>
                  </a:endParaRPr>
                </a:p>
              </xdr:txBody>
            </xdr:sp>
            <xdr:sp macro="" textlink="">
              <xdr:nvSpPr>
                <xdr:cNvPr id="11" name="Flèche : gauche 10">
                  <a:extLst>
                    <a:ext uri="{FF2B5EF4-FFF2-40B4-BE49-F238E27FC236}">
                      <a16:creationId xmlns:a16="http://schemas.microsoft.com/office/drawing/2014/main" id="{DB7C9C23-DC38-4469-9996-06E7091CA1EA}"/>
                    </a:ext>
                  </a:extLst>
                </xdr:cNvPr>
                <xdr:cNvSpPr/>
              </xdr:nvSpPr>
              <xdr:spPr>
                <a:xfrm>
                  <a:off x="4560035" y="6090722"/>
                  <a:ext cx="790974"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Flèche : gauche 14">
                  <a:extLst>
                    <a:ext uri="{FF2B5EF4-FFF2-40B4-BE49-F238E27FC236}">
                      <a16:creationId xmlns:a16="http://schemas.microsoft.com/office/drawing/2014/main" id="{F22D2E28-1DC4-44A8-B577-A08C1F994398}"/>
                    </a:ext>
                  </a:extLst>
                </xdr:cNvPr>
                <xdr:cNvSpPr/>
              </xdr:nvSpPr>
              <xdr:spPr>
                <a:xfrm rot="10800000">
                  <a:off x="9853213" y="6090110"/>
                  <a:ext cx="790974"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nvGrpSpPr>
              <xdr:cNvPr id="41" name="Groupe 40">
                <a:extLst>
                  <a:ext uri="{FF2B5EF4-FFF2-40B4-BE49-F238E27FC236}">
                    <a16:creationId xmlns:a16="http://schemas.microsoft.com/office/drawing/2014/main" id="{98C94627-4630-45D3-B02D-1EDD215A0F69}"/>
                  </a:ext>
                </a:extLst>
              </xdr:cNvPr>
              <xdr:cNvGrpSpPr/>
            </xdr:nvGrpSpPr>
            <xdr:grpSpPr>
              <a:xfrm>
                <a:off x="4560035" y="9004190"/>
                <a:ext cx="6084153" cy="1406635"/>
                <a:chOff x="4560035" y="9004190"/>
                <a:chExt cx="6084153" cy="1406635"/>
              </a:xfrm>
            </xdr:grpSpPr>
            <xdr:sp macro="" textlink="">
              <xdr:nvSpPr>
                <xdr:cNvPr id="18" name="Organigramme : Alternative 17">
                  <a:extLst>
                    <a:ext uri="{FF2B5EF4-FFF2-40B4-BE49-F238E27FC236}">
                      <a16:creationId xmlns:a16="http://schemas.microsoft.com/office/drawing/2014/main" id="{BB35F473-F5F0-4A7C-96E0-076DD319D27B}"/>
                    </a:ext>
                  </a:extLst>
                </xdr:cNvPr>
                <xdr:cNvSpPr/>
              </xdr:nvSpPr>
              <xdr:spPr>
                <a:xfrm>
                  <a:off x="5580101" y="9004190"/>
                  <a:ext cx="4186497" cy="1406635"/>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sont pris en compte les différents éléments qui vont augmenter de façon significative la consommation (Points de 2 à 4).</a:t>
                  </a:r>
                </a:p>
                <a:p>
                  <a:pPr algn="l"/>
                  <a:r>
                    <a:rPr lang="fr-FR" sz="1200" baseline="0">
                      <a:solidFill>
                        <a:srgbClr val="002060"/>
                      </a:solidFill>
                      <a:latin typeface="Book Antiqua" panose="02040602050305030304" pitchFamily="18" charset="0"/>
                    </a:rPr>
                    <a:t>Dans ce cas précis on voit que l'augmentation de carburant est supérieure de 13% à la consommation indiquée dans le point 1.</a:t>
                  </a:r>
                </a:p>
              </xdr:txBody>
            </xdr:sp>
            <xdr:sp macro="" textlink="">
              <xdr:nvSpPr>
                <xdr:cNvPr id="34" name="Flèche : gauche 33">
                  <a:extLst>
                    <a:ext uri="{FF2B5EF4-FFF2-40B4-BE49-F238E27FC236}">
                      <a16:creationId xmlns:a16="http://schemas.microsoft.com/office/drawing/2014/main" id="{A5E556DC-987E-42FE-9259-26478976BA87}"/>
                    </a:ext>
                  </a:extLst>
                </xdr:cNvPr>
                <xdr:cNvSpPr/>
              </xdr:nvSpPr>
              <xdr:spPr>
                <a:xfrm>
                  <a:off x="4560035" y="9259010"/>
                  <a:ext cx="790974"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5" name="Flèche : gauche 34">
                  <a:extLst>
                    <a:ext uri="{FF2B5EF4-FFF2-40B4-BE49-F238E27FC236}">
                      <a16:creationId xmlns:a16="http://schemas.microsoft.com/office/drawing/2014/main" id="{24FD6DDA-1C5E-4784-9C73-CAF31D6A329C}"/>
                    </a:ext>
                  </a:extLst>
                </xdr:cNvPr>
                <xdr:cNvSpPr/>
              </xdr:nvSpPr>
              <xdr:spPr>
                <a:xfrm rot="10800000">
                  <a:off x="9853214" y="9258398"/>
                  <a:ext cx="790974"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nvGrpSpPr>
              <xdr:cNvPr id="42" name="Groupe 41">
                <a:extLst>
                  <a:ext uri="{FF2B5EF4-FFF2-40B4-BE49-F238E27FC236}">
                    <a16:creationId xmlns:a16="http://schemas.microsoft.com/office/drawing/2014/main" id="{844D9FA3-6536-41CF-8E6A-CCD52F7F6C1D}"/>
                  </a:ext>
                </a:extLst>
              </xdr:cNvPr>
              <xdr:cNvGrpSpPr/>
            </xdr:nvGrpSpPr>
            <xdr:grpSpPr>
              <a:xfrm>
                <a:off x="4560035" y="10983491"/>
                <a:ext cx="6084153" cy="1991850"/>
                <a:chOff x="4560035" y="10983491"/>
                <a:chExt cx="6084153" cy="1991850"/>
              </a:xfrm>
            </xdr:grpSpPr>
            <xdr:sp macro="" textlink="">
              <xdr:nvSpPr>
                <xdr:cNvPr id="19" name="Organigramme : Alternative 18">
                  <a:extLst>
                    <a:ext uri="{FF2B5EF4-FFF2-40B4-BE49-F238E27FC236}">
                      <a16:creationId xmlns:a16="http://schemas.microsoft.com/office/drawing/2014/main" id="{0E1143C6-66DE-4E71-AAA1-FF94CFF1C33A}"/>
                    </a:ext>
                  </a:extLst>
                </xdr:cNvPr>
                <xdr:cNvSpPr/>
              </xdr:nvSpPr>
              <xdr:spPr>
                <a:xfrm>
                  <a:off x="5508863" y="10983491"/>
                  <a:ext cx="4186497" cy="1991850"/>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a:solidFill>
                        <a:srgbClr val="002060"/>
                      </a:solidFill>
                      <a:latin typeface="Book Antiqua" panose="02040602050305030304" pitchFamily="18" charset="0"/>
                    </a:rPr>
                    <a:t>Dans</a:t>
                  </a:r>
                  <a:r>
                    <a:rPr lang="fr-FR" sz="1200" baseline="0">
                      <a:solidFill>
                        <a:srgbClr val="002060"/>
                      </a:solidFill>
                      <a:latin typeface="Book Antiqua" panose="02040602050305030304" pitchFamily="18" charset="0"/>
                    </a:rPr>
                    <a:t> ce cartouche, le carburant au bloc correspond au total carburant consommé pendant ce vol en fonction du nombre d'aéroports sur lequel l'avion se pose.</a:t>
                  </a:r>
                  <a:br>
                    <a:rPr lang="fr-FR" sz="1200" baseline="0">
                      <a:solidFill>
                        <a:srgbClr val="002060"/>
                      </a:solidFill>
                      <a:latin typeface="Book Antiqua" panose="02040602050305030304" pitchFamily="18" charset="0"/>
                    </a:rPr>
                  </a:br>
                  <a:r>
                    <a:rPr lang="fr-FR" sz="1200" baseline="0">
                      <a:solidFill>
                        <a:srgbClr val="002060"/>
                      </a:solidFill>
                      <a:latin typeface="Book Antiqua" panose="02040602050305030304" pitchFamily="18" charset="0"/>
                    </a:rPr>
                    <a:t>Mais vous savez aussi combien il restera de carburant dans vos réservoirs à l'arrivée (Total théorique et exploitable théorique).</a:t>
                  </a:r>
                </a:p>
                <a:p>
                  <a:pPr algn="l"/>
                  <a:r>
                    <a:rPr lang="fr-FR" sz="1200" baseline="0">
                      <a:solidFill>
                        <a:srgbClr val="002060"/>
                      </a:solidFill>
                      <a:latin typeface="Book Antiqua" panose="02040602050305030304" pitchFamily="18" charset="0"/>
                    </a:rPr>
                    <a:t>Si votre restant exploitable à l'arrivée est compris entre 0 et 10 du litrage de la réserve finale alors la case se colorise en orange. </a:t>
                  </a:r>
                </a:p>
              </xdr:txBody>
            </xdr:sp>
            <xdr:sp macro="" textlink="">
              <xdr:nvSpPr>
                <xdr:cNvPr id="36" name="Flèche : gauche 35">
                  <a:extLst>
                    <a:ext uri="{FF2B5EF4-FFF2-40B4-BE49-F238E27FC236}">
                      <a16:creationId xmlns:a16="http://schemas.microsoft.com/office/drawing/2014/main" id="{9070D2AA-E2E1-4844-95FB-D993593B0FAC}"/>
                    </a:ext>
                  </a:extLst>
                </xdr:cNvPr>
                <xdr:cNvSpPr/>
              </xdr:nvSpPr>
              <xdr:spPr>
                <a:xfrm>
                  <a:off x="4560035" y="11481872"/>
                  <a:ext cx="790974" cy="896995"/>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7" name="Flèche : gauche 36">
                  <a:extLst>
                    <a:ext uri="{FF2B5EF4-FFF2-40B4-BE49-F238E27FC236}">
                      <a16:creationId xmlns:a16="http://schemas.microsoft.com/office/drawing/2014/main" id="{965F6174-0C8F-4C89-B1B0-3C0F6131B08D}"/>
                    </a:ext>
                  </a:extLst>
                </xdr:cNvPr>
                <xdr:cNvSpPr/>
              </xdr:nvSpPr>
              <xdr:spPr>
                <a:xfrm rot="10800000">
                  <a:off x="9853214" y="11481260"/>
                  <a:ext cx="790974" cy="898218"/>
                </a:xfrm>
                <a:prstGeom prst="leftArrow">
                  <a:avLst/>
                </a:prstGeom>
                <a:solidFill>
                  <a:srgbClr val="FF0000"/>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C00000"/>
                    </a:solidFill>
                  </a:endParaRPr>
                </a:p>
              </xdr:txBody>
            </xdr:sp>
          </xdr:grpSp>
        </xdr:grpSp>
      </xdr:grpSp>
      <xdr:grpSp>
        <xdr:nvGrpSpPr>
          <xdr:cNvPr id="5" name="Groupe 4">
            <a:extLst>
              <a:ext uri="{FF2B5EF4-FFF2-40B4-BE49-F238E27FC236}">
                <a16:creationId xmlns:a16="http://schemas.microsoft.com/office/drawing/2014/main" id="{55AE0423-3F31-4FAA-93F6-B2BD6F083003}"/>
              </a:ext>
            </a:extLst>
          </xdr:cNvPr>
          <xdr:cNvGrpSpPr/>
        </xdr:nvGrpSpPr>
        <xdr:grpSpPr>
          <a:xfrm>
            <a:off x="62803" y="12887325"/>
            <a:ext cx="15168822" cy="5174797"/>
            <a:chOff x="68036" y="12887325"/>
            <a:chExt cx="15168822" cy="5174797"/>
          </a:xfrm>
        </xdr:grpSpPr>
        <xdr:pic>
          <xdr:nvPicPr>
            <xdr:cNvPr id="4" name="Image 3">
              <a:extLst>
                <a:ext uri="{FF2B5EF4-FFF2-40B4-BE49-F238E27FC236}">
                  <a16:creationId xmlns:a16="http://schemas.microsoft.com/office/drawing/2014/main" id="{30D590BA-9D98-49BD-ADEC-3B5F85B2BE4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71185" y="12887325"/>
              <a:ext cx="4962525" cy="5174797"/>
            </a:xfrm>
            <a:prstGeom prst="rect">
              <a:avLst/>
            </a:prstGeom>
          </xdr:spPr>
        </xdr:pic>
        <xdr:sp macro="" textlink="">
          <xdr:nvSpPr>
            <xdr:cNvPr id="32" name="Organigramme : Alternative 31">
              <a:extLst>
                <a:ext uri="{FF2B5EF4-FFF2-40B4-BE49-F238E27FC236}">
                  <a16:creationId xmlns:a16="http://schemas.microsoft.com/office/drawing/2014/main" id="{DAE7D630-18E3-41D8-A9E1-C3D5641EFFE6}"/>
                </a:ext>
              </a:extLst>
            </xdr:cNvPr>
            <xdr:cNvSpPr/>
          </xdr:nvSpPr>
          <xdr:spPr>
            <a:xfrm>
              <a:off x="68036" y="14503674"/>
              <a:ext cx="4186497" cy="1942099"/>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aseline="0">
                  <a:solidFill>
                    <a:srgbClr val="002060"/>
                  </a:solidFill>
                  <a:latin typeface="Book Antiqua" panose="02040602050305030304" pitchFamily="18" charset="0"/>
                </a:rPr>
                <a:t>Ce cartouche est un récapitulatif de la gestion carburant au départ du vol et reprends les différents éléments concernant le carburant répartis sur le devis comme sur la partie gauche :</a:t>
              </a:r>
            </a:p>
            <a:p>
              <a:pPr algn="l"/>
              <a:r>
                <a:rPr lang="fr-FR" sz="1200" baseline="0">
                  <a:solidFill>
                    <a:srgbClr val="002060"/>
                  </a:solidFill>
                  <a:latin typeface="Book Antiqua" panose="02040602050305030304" pitchFamily="18" charset="0"/>
                </a:rPr>
                <a:t>1-Le total de carburant embarqué</a:t>
              </a:r>
            </a:p>
            <a:p>
              <a:pPr algn="l"/>
              <a:r>
                <a:rPr lang="fr-FR" sz="1200" baseline="0">
                  <a:solidFill>
                    <a:srgbClr val="002060"/>
                  </a:solidFill>
                  <a:latin typeface="Book Antiqua" panose="02040602050305030304" pitchFamily="18" charset="0"/>
                </a:rPr>
                <a:t>2-Le total de carburant utilisable</a:t>
              </a:r>
            </a:p>
            <a:p>
              <a:pPr algn="l"/>
              <a:r>
                <a:rPr lang="fr-FR" sz="1200" baseline="0">
                  <a:solidFill>
                    <a:srgbClr val="002060"/>
                  </a:solidFill>
                  <a:latin typeface="Book Antiqua" panose="02040602050305030304" pitchFamily="18" charset="0"/>
                </a:rPr>
                <a:t>3-Le carburant non utilisable</a:t>
              </a:r>
            </a:p>
            <a:p>
              <a:pPr algn="l"/>
              <a:r>
                <a:rPr lang="fr-FR" sz="1200" baseline="0">
                  <a:solidFill>
                    <a:srgbClr val="002060"/>
                  </a:solidFill>
                  <a:latin typeface="Book Antiqua" panose="02040602050305030304" pitchFamily="18" charset="0"/>
                </a:rPr>
                <a:t>4-Le carburant au bloc nécessaire pour effectuer le vol </a:t>
              </a:r>
            </a:p>
          </xdr:txBody>
        </xdr:sp>
        <xdr:sp macro="" textlink="">
          <xdr:nvSpPr>
            <xdr:cNvPr id="33" name="Flèche : gauche 32">
              <a:extLst>
                <a:ext uri="{FF2B5EF4-FFF2-40B4-BE49-F238E27FC236}">
                  <a16:creationId xmlns:a16="http://schemas.microsoft.com/office/drawing/2014/main" id="{85F4667A-1A71-4E51-A0F5-B31AC2B770D0}"/>
                </a:ext>
              </a:extLst>
            </xdr:cNvPr>
            <xdr:cNvSpPr/>
          </xdr:nvSpPr>
          <xdr:spPr>
            <a:xfrm rot="10800000">
              <a:off x="4317372" y="15026114"/>
              <a:ext cx="790974" cy="897219"/>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4" name="Organigramme : Alternative 43">
              <a:extLst>
                <a:ext uri="{FF2B5EF4-FFF2-40B4-BE49-F238E27FC236}">
                  <a16:creationId xmlns:a16="http://schemas.microsoft.com/office/drawing/2014/main" id="{6B840161-06FA-4F6A-97C3-90BFE808861C}"/>
                </a:ext>
              </a:extLst>
            </xdr:cNvPr>
            <xdr:cNvSpPr/>
          </xdr:nvSpPr>
          <xdr:spPr>
            <a:xfrm>
              <a:off x="11050361" y="14503674"/>
              <a:ext cx="4186497" cy="1942099"/>
            </a:xfrm>
            <a:prstGeom prst="flowChartAlternateProcess">
              <a:avLst/>
            </a:prstGeom>
            <a:solidFill>
              <a:schemeClr val="accent5">
                <a:lumMod val="20000"/>
                <a:lumOff val="80000"/>
              </a:schemeClr>
            </a:solidFill>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aseline="0">
                  <a:solidFill>
                    <a:srgbClr val="002060"/>
                  </a:solidFill>
                  <a:latin typeface="Book Antiqua" panose="02040602050305030304" pitchFamily="18" charset="0"/>
                </a:rPr>
                <a:t>Vous trouvez aussi une représentation graphique de chaque réservoir vous montrant (en partant du haut) :</a:t>
              </a:r>
            </a:p>
            <a:p>
              <a:pPr algn="l"/>
              <a:r>
                <a:rPr lang="fr-FR" sz="1200" baseline="0">
                  <a:solidFill>
                    <a:srgbClr val="002060"/>
                  </a:solidFill>
                  <a:latin typeface="Book Antiqua" panose="02040602050305030304" pitchFamily="18" charset="0"/>
                </a:rPr>
                <a:t>1-La contenance maximum du réservoir</a:t>
              </a:r>
            </a:p>
            <a:p>
              <a:pPr algn="l"/>
              <a:r>
                <a:rPr lang="fr-FR" sz="1200" baseline="0">
                  <a:solidFill>
                    <a:srgbClr val="002060"/>
                  </a:solidFill>
                  <a:latin typeface="Book Antiqua" panose="02040602050305030304" pitchFamily="18" charset="0"/>
                </a:rPr>
                <a:t>2-La contenance du réservoir au moment du décollage</a:t>
              </a:r>
            </a:p>
            <a:p>
              <a:pPr algn="l"/>
              <a:r>
                <a:rPr lang="fr-FR" sz="1200" baseline="0">
                  <a:solidFill>
                    <a:srgbClr val="002060"/>
                  </a:solidFill>
                  <a:latin typeface="Book Antiqua" panose="02040602050305030304" pitchFamily="18" charset="0"/>
                </a:rPr>
                <a:t>3-Le pourcentage du réservoir que représente le carburant embarqué</a:t>
              </a:r>
            </a:p>
            <a:p>
              <a:pPr algn="l"/>
              <a:r>
                <a:rPr lang="fr-FR" sz="1200" baseline="0">
                  <a:solidFill>
                    <a:srgbClr val="002060"/>
                  </a:solidFill>
                  <a:latin typeface="Book Antiqua" panose="02040602050305030304" pitchFamily="18" charset="0"/>
                </a:rPr>
                <a:t>4-Le réseervoir concerné</a:t>
              </a:r>
            </a:p>
            <a:p>
              <a:pPr algn="l"/>
              <a:r>
                <a:rPr lang="fr-FR" sz="1200" baseline="0">
                  <a:solidFill>
                    <a:srgbClr val="002060"/>
                  </a:solidFill>
                  <a:latin typeface="Book Antiqua" panose="02040602050305030304" pitchFamily="18" charset="0"/>
                </a:rPr>
                <a:t>En dessous, vous avez un report de l'autonomie de vol théorique avec le carburant embarqué,</a:t>
              </a:r>
            </a:p>
            <a:p>
              <a:pPr algn="l"/>
              <a:endParaRPr lang="fr-FR" sz="1200" baseline="0">
                <a:solidFill>
                  <a:srgbClr val="002060"/>
                </a:solidFill>
                <a:latin typeface="Book Antiqua" panose="02040602050305030304" pitchFamily="18" charset="0"/>
              </a:endParaRPr>
            </a:p>
          </xdr:txBody>
        </xdr:sp>
        <xdr:sp macro="" textlink="">
          <xdr:nvSpPr>
            <xdr:cNvPr id="45" name="Flèche : gauche 44">
              <a:extLst>
                <a:ext uri="{FF2B5EF4-FFF2-40B4-BE49-F238E27FC236}">
                  <a16:creationId xmlns:a16="http://schemas.microsoft.com/office/drawing/2014/main" id="{76DFCE2D-D605-4C1A-A92F-AB0EAC4AD89D}"/>
                </a:ext>
              </a:extLst>
            </xdr:cNvPr>
            <xdr:cNvSpPr/>
          </xdr:nvSpPr>
          <xdr:spPr>
            <a:xfrm>
              <a:off x="10196549" y="15026114"/>
              <a:ext cx="790974" cy="897219"/>
            </a:xfrm>
            <a:prstGeom prst="leftArrow">
              <a:avLst/>
            </a:prstGeom>
            <a:solidFill>
              <a:schemeClr val="accent6">
                <a:lumMod val="20000"/>
                <a:lumOff val="80000"/>
              </a:schemeClr>
            </a:solidFill>
            <a:ln>
              <a:solidFill>
                <a:schemeClr val="accent6">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173602</xdr:colOff>
      <xdr:row>24</xdr:row>
      <xdr:rowOff>136071</xdr:rowOff>
    </xdr:from>
    <xdr:to>
      <xdr:col>11</xdr:col>
      <xdr:colOff>132780</xdr:colOff>
      <xdr:row>49</xdr:row>
      <xdr:rowOff>231321</xdr:rowOff>
    </xdr:to>
    <xdr:graphicFrame macro="">
      <xdr:nvGraphicFramePr>
        <xdr:cNvPr id="2" name="Chart 1">
          <a:extLst>
            <a:ext uri="{FF2B5EF4-FFF2-40B4-BE49-F238E27FC236}">
              <a16:creationId xmlns:a16="http://schemas.microsoft.com/office/drawing/2014/main" id="{ADB8D676-6468-4361-8A1E-EC0AEF1A9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1467082</xdr:colOff>
      <xdr:row>26</xdr:row>
      <xdr:rowOff>164193</xdr:rowOff>
    </xdr:from>
    <xdr:to>
      <xdr:col>3</xdr:col>
      <xdr:colOff>410520</xdr:colOff>
      <xdr:row>29</xdr:row>
      <xdr:rowOff>47706</xdr:rowOff>
    </xdr:to>
    <xdr:grpSp>
      <xdr:nvGrpSpPr>
        <xdr:cNvPr id="4" name="Groupe 3">
          <a:extLst>
            <a:ext uri="{FF2B5EF4-FFF2-40B4-BE49-F238E27FC236}">
              <a16:creationId xmlns:a16="http://schemas.microsoft.com/office/drawing/2014/main" id="{4138D9A7-9DA2-4CDC-804C-BEA331252227}"/>
            </a:ext>
          </a:extLst>
        </xdr:cNvPr>
        <xdr:cNvGrpSpPr/>
      </xdr:nvGrpSpPr>
      <xdr:grpSpPr>
        <a:xfrm>
          <a:off x="4313376" y="8815134"/>
          <a:ext cx="2092291" cy="824807"/>
          <a:chOff x="1297409" y="9113934"/>
          <a:chExt cx="2085088" cy="823445"/>
        </a:xfrm>
      </xdr:grpSpPr>
      <xdr:sp macro="" textlink="">
        <xdr:nvSpPr>
          <xdr:cNvPr id="5" name="Rectangle 4">
            <a:extLst>
              <a:ext uri="{FF2B5EF4-FFF2-40B4-BE49-F238E27FC236}">
                <a16:creationId xmlns:a16="http://schemas.microsoft.com/office/drawing/2014/main" id="{E1F78DCE-5F7F-4942-A6EA-5A7BEF2F2A8D}"/>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baseline="0">
                <a:solidFill>
                  <a:srgbClr val="C00000"/>
                </a:solidFill>
                <a:latin typeface="Book Antiqua" panose="02040602050305030304" pitchFamily="18" charset="0"/>
              </a:rPr>
              <a:t>Masse au décollage</a:t>
            </a:r>
          </a:p>
          <a:p>
            <a:pPr algn="l"/>
            <a:endParaRPr lang="fr-FR" sz="4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6" name="Rectangle 5">
            <a:extLst>
              <a:ext uri="{FF2B5EF4-FFF2-40B4-BE49-F238E27FC236}">
                <a16:creationId xmlns:a16="http://schemas.microsoft.com/office/drawing/2014/main" id="{A7D3261D-50A6-41A2-9EAC-9C21659FD253}"/>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Rectangle 6">
            <a:extLst>
              <a:ext uri="{FF2B5EF4-FFF2-40B4-BE49-F238E27FC236}">
                <a16:creationId xmlns:a16="http://schemas.microsoft.com/office/drawing/2014/main" id="{F947C105-6A58-4345-B6C1-FF24D4729A41}"/>
              </a:ext>
            </a:extLst>
          </xdr:cNvPr>
          <xdr:cNvSpPr/>
        </xdr:nvSpPr>
        <xdr:spPr>
          <a:xfrm rot="2749803" flipH="1">
            <a:off x="1301245" y="9478799"/>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15</xdr:row>
      <xdr:rowOff>10583</xdr:rowOff>
    </xdr:from>
    <xdr:to>
      <xdr:col>2</xdr:col>
      <xdr:colOff>709085</xdr:colOff>
      <xdr:row>16</xdr:row>
      <xdr:rowOff>243417</xdr:rowOff>
    </xdr:to>
    <xdr:sp macro="" textlink="$C$24">
      <xdr:nvSpPr>
        <xdr:cNvPr id="9" name="Rectangle : coins arrondis 8">
          <a:extLst>
            <a:ext uri="{FF2B5EF4-FFF2-40B4-BE49-F238E27FC236}">
              <a16:creationId xmlns:a16="http://schemas.microsoft.com/office/drawing/2014/main" id="{BBC074B5-F8E3-4452-914D-05D931C9F85F}"/>
            </a:ext>
          </a:extLst>
        </xdr:cNvPr>
        <xdr:cNvSpPr/>
      </xdr:nvSpPr>
      <xdr:spPr>
        <a:xfrm>
          <a:off x="222251" y="4906433"/>
          <a:ext cx="24299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82F3B876-2F8F-4F42-A86C-972055C5D1D6}"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25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15</xdr:row>
      <xdr:rowOff>0</xdr:rowOff>
    </xdr:from>
    <xdr:to>
      <xdr:col>2</xdr:col>
      <xdr:colOff>931334</xdr:colOff>
      <xdr:row>15</xdr:row>
      <xdr:rowOff>264588</xdr:rowOff>
    </xdr:to>
    <xdr:sp macro="" textlink="">
      <xdr:nvSpPr>
        <xdr:cNvPr id="10" name="ZoneTexte 9">
          <a:extLst>
            <a:ext uri="{FF2B5EF4-FFF2-40B4-BE49-F238E27FC236}">
              <a16:creationId xmlns:a16="http://schemas.microsoft.com/office/drawing/2014/main" id="{34785225-47AE-43E5-9D57-CCBC8476E984}"/>
            </a:ext>
          </a:extLst>
        </xdr:cNvPr>
        <xdr:cNvSpPr txBox="1"/>
      </xdr:nvSpPr>
      <xdr:spPr>
        <a:xfrm>
          <a:off x="0" y="4895850"/>
          <a:ext cx="28744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6</xdr:col>
      <xdr:colOff>55225</xdr:colOff>
      <xdr:row>3</xdr:row>
      <xdr:rowOff>56684</xdr:rowOff>
    </xdr:from>
    <xdr:to>
      <xdr:col>6</xdr:col>
      <xdr:colOff>350500</xdr:colOff>
      <xdr:row>3</xdr:row>
      <xdr:rowOff>285284</xdr:rowOff>
    </xdr:to>
    <xdr:sp macro="" textlink="">
      <xdr:nvSpPr>
        <xdr:cNvPr id="8" name="Flèche : droite 7">
          <a:extLst>
            <a:ext uri="{FF2B5EF4-FFF2-40B4-BE49-F238E27FC236}">
              <a16:creationId xmlns:a16="http://schemas.microsoft.com/office/drawing/2014/main" id="{9A3EF3FC-22C1-4EC0-A375-12F3C57F48C2}"/>
            </a:ext>
          </a:extLst>
        </xdr:cNvPr>
        <xdr:cNvSpPr/>
      </xdr:nvSpPr>
      <xdr:spPr>
        <a:xfrm>
          <a:off x="6351018" y="1315843"/>
          <a:ext cx="295275" cy="228600"/>
        </a:xfrm>
        <a:prstGeom prst="rightArrow">
          <a:avLst/>
        </a:prstGeom>
        <a:solidFill>
          <a:schemeClr val="tx1"/>
        </a:solidFill>
        <a:ln>
          <a:solidFill>
            <a:schemeClr val="tx1"/>
          </a:solidFill>
        </a:ln>
        <a:effectLst>
          <a:outerShdw blurRad="50800" dist="25400" dir="8100000" sx="91000" sy="91000" algn="tr" rotWithShape="0">
            <a:prstClr val="black">
              <a:alpha val="40000"/>
            </a:prstClr>
          </a:outerShdw>
        </a:effectLst>
        <a:scene3d>
          <a:camera prst="orthographicFront"/>
          <a:lightRig rig="threePt" dir="t"/>
        </a:scene3d>
        <a:sp3d>
          <a:bevelT w="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7</xdr:col>
      <xdr:colOff>748393</xdr:colOff>
      <xdr:row>17</xdr:row>
      <xdr:rowOff>272817</xdr:rowOff>
    </xdr:from>
    <xdr:to>
      <xdr:col>10</xdr:col>
      <xdr:colOff>9525</xdr:colOff>
      <xdr:row>24</xdr:row>
      <xdr:rowOff>14120</xdr:rowOff>
    </xdr:to>
    <xdr:pic>
      <xdr:nvPicPr>
        <xdr:cNvPr id="12" name="Image 11">
          <a:extLst>
            <a:ext uri="{FF2B5EF4-FFF2-40B4-BE49-F238E27FC236}">
              <a16:creationId xmlns:a16="http://schemas.microsoft.com/office/drawing/2014/main" id="{2228085D-8FD5-475B-B60D-3B15CD5EE0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15893" y="6425967"/>
          <a:ext cx="4671332" cy="1941578"/>
        </a:xfrm>
        <a:prstGeom prst="rect">
          <a:avLst/>
        </a:prstGeom>
      </xdr:spPr>
    </xdr:pic>
    <xdr:clientData/>
  </xdr:twoCellAnchor>
  <xdr:twoCellAnchor>
    <xdr:from>
      <xdr:col>1</xdr:col>
      <xdr:colOff>0</xdr:colOff>
      <xdr:row>0</xdr:row>
      <xdr:rowOff>40821</xdr:rowOff>
    </xdr:from>
    <xdr:to>
      <xdr:col>2</xdr:col>
      <xdr:colOff>582036</xdr:colOff>
      <xdr:row>0</xdr:row>
      <xdr:rowOff>557892</xdr:rowOff>
    </xdr:to>
    <xdr:grpSp>
      <xdr:nvGrpSpPr>
        <xdr:cNvPr id="13" name="Groupe 12">
          <a:extLst>
            <a:ext uri="{FF2B5EF4-FFF2-40B4-BE49-F238E27FC236}">
              <a16:creationId xmlns:a16="http://schemas.microsoft.com/office/drawing/2014/main" id="{D1FA1716-83F4-4AB2-B05A-362AEF32968A}"/>
            </a:ext>
          </a:extLst>
        </xdr:cNvPr>
        <xdr:cNvGrpSpPr/>
      </xdr:nvGrpSpPr>
      <xdr:grpSpPr>
        <a:xfrm>
          <a:off x="2846294" y="40821"/>
          <a:ext cx="2677536" cy="517071"/>
          <a:chOff x="1156608" y="20411"/>
          <a:chExt cx="2677536" cy="517071"/>
        </a:xfrm>
      </xdr:grpSpPr>
      <xdr:sp macro="" textlink="">
        <xdr:nvSpPr>
          <xdr:cNvPr id="14" name="Ellipse 13">
            <a:extLst>
              <a:ext uri="{FF2B5EF4-FFF2-40B4-BE49-F238E27FC236}">
                <a16:creationId xmlns:a16="http://schemas.microsoft.com/office/drawing/2014/main" id="{A9065B4E-4C15-4BE8-8C08-2F9C1C7DCDCF}"/>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5" name="Ellipse 14">
            <a:extLst>
              <a:ext uri="{FF2B5EF4-FFF2-40B4-BE49-F238E27FC236}">
                <a16:creationId xmlns:a16="http://schemas.microsoft.com/office/drawing/2014/main" id="{BC768D59-4E3F-4E2B-9523-A128996BF329}"/>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6" name="ZoneTexte 15">
            <a:extLst>
              <a:ext uri="{FF2B5EF4-FFF2-40B4-BE49-F238E27FC236}">
                <a16:creationId xmlns:a16="http://schemas.microsoft.com/office/drawing/2014/main" id="{50D48BF6-BCF5-4FD4-B074-72AF9D5252D2}"/>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7" name="ZoneTexte 16">
            <a:extLst>
              <a:ext uri="{FF2B5EF4-FFF2-40B4-BE49-F238E27FC236}">
                <a16:creationId xmlns:a16="http://schemas.microsoft.com/office/drawing/2014/main" id="{D05109DB-F50C-4F0E-8A48-0C82256A2C11}"/>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555171</xdr:colOff>
      <xdr:row>7</xdr:row>
      <xdr:rowOff>224764</xdr:rowOff>
    </xdr:from>
    <xdr:to>
      <xdr:col>2</xdr:col>
      <xdr:colOff>1045028</xdr:colOff>
      <xdr:row>9</xdr:row>
      <xdr:rowOff>94899</xdr:rowOff>
    </xdr:to>
    <xdr:sp macro="" textlink="">
      <xdr:nvSpPr>
        <xdr:cNvPr id="18" name="Ellipse 17">
          <a:extLst>
            <a:ext uri="{FF2B5EF4-FFF2-40B4-BE49-F238E27FC236}">
              <a16:creationId xmlns:a16="http://schemas.microsoft.com/office/drawing/2014/main" id="{CA6DB7E4-9DDF-40D7-A62E-0A04EE204E57}"/>
            </a:ext>
          </a:extLst>
        </xdr:cNvPr>
        <xdr:cNvSpPr/>
      </xdr:nvSpPr>
      <xdr:spPr>
        <a:xfrm>
          <a:off x="2650671" y="2929864"/>
          <a:ext cx="489857" cy="50150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8930</xdr:colOff>
      <xdr:row>7</xdr:row>
      <xdr:rowOff>72262</xdr:rowOff>
    </xdr:from>
    <xdr:to>
      <xdr:col>12</xdr:col>
      <xdr:colOff>504389</xdr:colOff>
      <xdr:row>8</xdr:row>
      <xdr:rowOff>250292</xdr:rowOff>
    </xdr:to>
    <xdr:sp macro="" textlink="">
      <xdr:nvSpPr>
        <xdr:cNvPr id="19" name="Ellipse 18">
          <a:extLst>
            <a:ext uri="{FF2B5EF4-FFF2-40B4-BE49-F238E27FC236}">
              <a16:creationId xmlns:a16="http://schemas.microsoft.com/office/drawing/2014/main" id="{094B8C38-0FAA-4C53-B6FD-CB1239F9800A}"/>
            </a:ext>
          </a:extLst>
        </xdr:cNvPr>
        <xdr:cNvSpPr/>
      </xdr:nvSpPr>
      <xdr:spPr>
        <a:xfrm>
          <a:off x="13516571" y="2774981"/>
          <a:ext cx="495459" cy="49354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5761</xdr:colOff>
      <xdr:row>15</xdr:row>
      <xdr:rowOff>69467</xdr:rowOff>
    </xdr:from>
    <xdr:to>
      <xdr:col>7</xdr:col>
      <xdr:colOff>501221</xdr:colOff>
      <xdr:row>16</xdr:row>
      <xdr:rowOff>251697</xdr:rowOff>
    </xdr:to>
    <xdr:sp macro="" textlink="">
      <xdr:nvSpPr>
        <xdr:cNvPr id="20" name="Ellipse 19">
          <a:extLst>
            <a:ext uri="{FF2B5EF4-FFF2-40B4-BE49-F238E27FC236}">
              <a16:creationId xmlns:a16="http://schemas.microsoft.com/office/drawing/2014/main" id="{6DC14E18-2411-44FE-A2C7-D3C4798A1BC8}"/>
            </a:ext>
          </a:extLst>
        </xdr:cNvPr>
        <xdr:cNvSpPr/>
      </xdr:nvSpPr>
      <xdr:spPr>
        <a:xfrm>
          <a:off x="6673261" y="5298191"/>
          <a:ext cx="495460" cy="49805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2333</xdr:colOff>
      <xdr:row>17</xdr:row>
      <xdr:rowOff>225270</xdr:rowOff>
    </xdr:from>
    <xdr:to>
      <xdr:col>12</xdr:col>
      <xdr:colOff>510986</xdr:colOff>
      <xdr:row>19</xdr:row>
      <xdr:rowOff>101676</xdr:rowOff>
    </xdr:to>
    <xdr:sp macro="" textlink="">
      <xdr:nvSpPr>
        <xdr:cNvPr id="21" name="Ellipse 20">
          <a:extLst>
            <a:ext uri="{FF2B5EF4-FFF2-40B4-BE49-F238E27FC236}">
              <a16:creationId xmlns:a16="http://schemas.microsoft.com/office/drawing/2014/main" id="{93649143-BE33-4661-A792-418962776459}"/>
            </a:ext>
          </a:extLst>
        </xdr:cNvPr>
        <xdr:cNvSpPr/>
      </xdr:nvSpPr>
      <xdr:spPr>
        <a:xfrm>
          <a:off x="13509974" y="6083145"/>
          <a:ext cx="508653" cy="50743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12</xdr:col>
      <xdr:colOff>31215</xdr:colOff>
      <xdr:row>27</xdr:row>
      <xdr:rowOff>71369</xdr:rowOff>
    </xdr:from>
    <xdr:to>
      <xdr:col>17</xdr:col>
      <xdr:colOff>74439</xdr:colOff>
      <xdr:row>40</xdr:row>
      <xdr:rowOff>246529</xdr:rowOff>
    </xdr:to>
    <xdr:grpSp>
      <xdr:nvGrpSpPr>
        <xdr:cNvPr id="3" name="Groupe 2">
          <a:extLst>
            <a:ext uri="{FF2B5EF4-FFF2-40B4-BE49-F238E27FC236}">
              <a16:creationId xmlns:a16="http://schemas.microsoft.com/office/drawing/2014/main" id="{BE84154E-7484-D3BD-AFAD-212C997D6A13}"/>
            </a:ext>
          </a:extLst>
        </xdr:cNvPr>
        <xdr:cNvGrpSpPr/>
      </xdr:nvGrpSpPr>
      <xdr:grpSpPr>
        <a:xfrm>
          <a:off x="16425421" y="9036075"/>
          <a:ext cx="4951400" cy="4254101"/>
          <a:chOff x="16425421" y="9036075"/>
          <a:chExt cx="4951400" cy="4254101"/>
        </a:xfrm>
      </xdr:grpSpPr>
      <xdr:sp macro="" textlink="">
        <xdr:nvSpPr>
          <xdr:cNvPr id="25" name="Rectangle : coins arrondis 24">
            <a:extLst>
              <a:ext uri="{FF2B5EF4-FFF2-40B4-BE49-F238E27FC236}">
                <a16:creationId xmlns:a16="http://schemas.microsoft.com/office/drawing/2014/main" id="{7258FBBF-0F2F-4808-9220-B66D3B44A55B}"/>
              </a:ext>
            </a:extLst>
          </xdr:cNvPr>
          <xdr:cNvSpPr/>
        </xdr:nvSpPr>
        <xdr:spPr>
          <a:xfrm>
            <a:off x="16425421" y="9278228"/>
            <a:ext cx="4485326" cy="4011948"/>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6" name="Groupe 25">
            <a:extLst>
              <a:ext uri="{FF2B5EF4-FFF2-40B4-BE49-F238E27FC236}">
                <a16:creationId xmlns:a16="http://schemas.microsoft.com/office/drawing/2014/main" id="{4CFBDB5E-CEA7-4647-B4C8-7C1ACAD304F4}"/>
              </a:ext>
            </a:extLst>
          </xdr:cNvPr>
          <xdr:cNvGrpSpPr/>
        </xdr:nvGrpSpPr>
        <xdr:grpSpPr>
          <a:xfrm>
            <a:off x="16494255" y="9174498"/>
            <a:ext cx="4882566" cy="3791004"/>
            <a:chOff x="18115417" y="9410239"/>
            <a:chExt cx="5245279" cy="4602831"/>
          </a:xfrm>
        </xdr:grpSpPr>
        <xdr:graphicFrame macro="">
          <xdr:nvGraphicFramePr>
            <xdr:cNvPr id="27" name="Graphique 26">
              <a:extLst>
                <a:ext uri="{FF2B5EF4-FFF2-40B4-BE49-F238E27FC236}">
                  <a16:creationId xmlns:a16="http://schemas.microsoft.com/office/drawing/2014/main" id="{30DB58BF-63EE-41D4-A293-853E7758BD52}"/>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8" name="Graphique 27">
              <a:extLst>
                <a:ext uri="{FF2B5EF4-FFF2-40B4-BE49-F238E27FC236}">
                  <a16:creationId xmlns:a16="http://schemas.microsoft.com/office/drawing/2014/main" id="{0B776DBF-5928-4C1F-816E-63CBE56D6C36}"/>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29" name="Groupe 28">
              <a:extLst>
                <a:ext uri="{FF2B5EF4-FFF2-40B4-BE49-F238E27FC236}">
                  <a16:creationId xmlns:a16="http://schemas.microsoft.com/office/drawing/2014/main" id="{6E2AA8D2-E5FA-4A7E-A6B2-8750DDF6C63B}"/>
                </a:ext>
              </a:extLst>
            </xdr:cNvPr>
            <xdr:cNvGrpSpPr/>
          </xdr:nvGrpSpPr>
          <xdr:grpSpPr>
            <a:xfrm>
              <a:off x="19772054" y="13230298"/>
              <a:ext cx="2575890" cy="777055"/>
              <a:chOff x="20540874" y="13124387"/>
              <a:chExt cx="2592456" cy="779498"/>
            </a:xfrm>
          </xdr:grpSpPr>
          <xdr:sp macro="" textlink="$J$15">
            <xdr:nvSpPr>
              <xdr:cNvPr id="43" name="Rectangle : coins arrondis 42">
                <a:extLst>
                  <a:ext uri="{FF2B5EF4-FFF2-40B4-BE49-F238E27FC236}">
                    <a16:creationId xmlns:a16="http://schemas.microsoft.com/office/drawing/2014/main" id="{53806BAD-8BB0-4951-97B5-C53B43AB1B5B}"/>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E5C38-A36E-4F16-B7A1-5577015E9A93}" type="TxLink">
                  <a:rPr lang="en-US" sz="1600" b="1" i="0" u="none" strike="noStrike">
                    <a:solidFill>
                      <a:schemeClr val="bg1"/>
                    </a:solidFill>
                    <a:latin typeface="Book Antiqua"/>
                  </a:rPr>
                  <a:pPr algn="ctr"/>
                  <a:t>2 h et 37 mn</a:t>
                </a:fld>
                <a:endParaRPr lang="fr-FR" sz="1600">
                  <a:solidFill>
                    <a:schemeClr val="bg1"/>
                  </a:solidFill>
                </a:endParaRPr>
              </a:p>
            </xdr:txBody>
          </xdr:sp>
          <xdr:sp macro="" textlink="">
            <xdr:nvSpPr>
              <xdr:cNvPr id="44" name="Rectangle 43">
                <a:extLst>
                  <a:ext uri="{FF2B5EF4-FFF2-40B4-BE49-F238E27FC236}">
                    <a16:creationId xmlns:a16="http://schemas.microsoft.com/office/drawing/2014/main" id="{498AFA1D-52F6-4D7E-91A4-5F8CC7815BB6}"/>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30" name="Groupe 29">
              <a:extLst>
                <a:ext uri="{FF2B5EF4-FFF2-40B4-BE49-F238E27FC236}">
                  <a16:creationId xmlns:a16="http://schemas.microsoft.com/office/drawing/2014/main" id="{655424AA-8981-42E7-8AD8-0931DC2826B8}"/>
                </a:ext>
              </a:extLst>
            </xdr:cNvPr>
            <xdr:cNvGrpSpPr/>
          </xdr:nvGrpSpPr>
          <xdr:grpSpPr>
            <a:xfrm>
              <a:off x="18115417" y="10164186"/>
              <a:ext cx="1448175" cy="3848884"/>
              <a:chOff x="21104887" y="9612661"/>
              <a:chExt cx="1457010" cy="3861552"/>
            </a:xfrm>
          </xdr:grpSpPr>
          <xdr:grpSp>
            <xdr:nvGrpSpPr>
              <xdr:cNvPr id="31" name="Groupe 30">
                <a:extLst>
                  <a:ext uri="{FF2B5EF4-FFF2-40B4-BE49-F238E27FC236}">
                    <a16:creationId xmlns:a16="http://schemas.microsoft.com/office/drawing/2014/main" id="{6E23721F-3BD0-4A91-A563-9B8A175F557C}"/>
                  </a:ext>
                </a:extLst>
              </xdr:cNvPr>
              <xdr:cNvGrpSpPr/>
            </xdr:nvGrpSpPr>
            <xdr:grpSpPr>
              <a:xfrm rot="5400000">
                <a:off x="21292935" y="9461362"/>
                <a:ext cx="1063620" cy="1366218"/>
                <a:chOff x="21097375" y="9615841"/>
                <a:chExt cx="1408044" cy="1134646"/>
              </a:xfrm>
            </xdr:grpSpPr>
            <xdr:sp macro="" textlink="Capacité_carburant_Max_10">
              <xdr:nvSpPr>
                <xdr:cNvPr id="41" name="Flèche : pentagone 40">
                  <a:extLst>
                    <a:ext uri="{FF2B5EF4-FFF2-40B4-BE49-F238E27FC236}">
                      <a16:creationId xmlns:a16="http://schemas.microsoft.com/office/drawing/2014/main" id="{464B68BA-764C-4724-9474-7FF5546C5642}"/>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7C296E28-FE76-4F6C-BAE7-FA402F64B67F}" type="TxLink">
                    <a:rPr lang="en-US" sz="1300" b="1" i="0" u="none" strike="noStrike">
                      <a:solidFill>
                        <a:srgbClr val="000000"/>
                      </a:solidFill>
                      <a:effectLst/>
                      <a:latin typeface="Book Antiqua"/>
                    </a:rPr>
                    <a:pPr algn="ctr"/>
                    <a:t>110,0 L</a:t>
                  </a:fld>
                  <a:endParaRPr lang="fr-FR" sz="1300" b="1">
                    <a:solidFill>
                      <a:srgbClr val="002060"/>
                    </a:solidFill>
                    <a:effectLst/>
                  </a:endParaRPr>
                </a:p>
              </xdr:txBody>
            </xdr:sp>
            <xdr:sp macro="" textlink="">
              <xdr:nvSpPr>
                <xdr:cNvPr id="42" name="ZoneTexte 41">
                  <a:extLst>
                    <a:ext uri="{FF2B5EF4-FFF2-40B4-BE49-F238E27FC236}">
                      <a16:creationId xmlns:a16="http://schemas.microsoft.com/office/drawing/2014/main" id="{7466E885-53E8-40F6-8B8A-19349D1FE4B0}"/>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2" name="Groupe 31">
                <a:extLst>
                  <a:ext uri="{FF2B5EF4-FFF2-40B4-BE49-F238E27FC236}">
                    <a16:creationId xmlns:a16="http://schemas.microsoft.com/office/drawing/2014/main" id="{668A474A-285C-47FE-8680-C80D6CD63B4D}"/>
                  </a:ext>
                </a:extLst>
              </xdr:cNvPr>
              <xdr:cNvGrpSpPr/>
            </xdr:nvGrpSpPr>
            <xdr:grpSpPr>
              <a:xfrm rot="5400000">
                <a:off x="21121452" y="10185154"/>
                <a:ext cx="1408044" cy="1441173"/>
                <a:chOff x="21128934" y="10039476"/>
                <a:chExt cx="1408044" cy="715464"/>
              </a:xfrm>
            </xdr:grpSpPr>
            <xdr:sp macro="" textlink="Carburant_utilisable_10">
              <xdr:nvSpPr>
                <xdr:cNvPr id="39" name="Flèche : chevron 38">
                  <a:extLst>
                    <a:ext uri="{FF2B5EF4-FFF2-40B4-BE49-F238E27FC236}">
                      <a16:creationId xmlns:a16="http://schemas.microsoft.com/office/drawing/2014/main" id="{8996C86A-F1B1-4B5B-B927-493B33E139CC}"/>
                    </a:ext>
                  </a:extLst>
                </xdr:cNvPr>
                <xdr:cNvSpPr/>
              </xdr:nvSpPr>
              <xdr:spPr>
                <a:xfrm>
                  <a:off x="21128934" y="10113065"/>
                  <a:ext cx="1408044" cy="563362"/>
                </a:xfrm>
                <a:prstGeom prst="chevron">
                  <a:avLst>
                    <a:gd name="adj" fmla="val 37978"/>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E75BB748-AAF9-410A-96F3-120B5122FB09}" type="TxLink">
                    <a:rPr lang="en-US" sz="1400" b="1" i="0" u="none" strike="noStrike">
                      <a:solidFill>
                        <a:srgbClr val="000000"/>
                      </a:solidFill>
                      <a:effectLst/>
                      <a:latin typeface="Book Antiqua"/>
                    </a:rPr>
                    <a:pPr algn="ctr"/>
                    <a:t>110,0 L</a:t>
                  </a:fld>
                  <a:endParaRPr lang="fr-FR" sz="1400" b="1">
                    <a:solidFill>
                      <a:schemeClr val="accent6">
                        <a:lumMod val="50000"/>
                      </a:schemeClr>
                    </a:solidFill>
                    <a:effectLst/>
                  </a:endParaRPr>
                </a:p>
              </xdr:txBody>
            </xdr:sp>
            <xdr:sp macro="" textlink="">
              <xdr:nvSpPr>
                <xdr:cNvPr id="40" name="ZoneTexte 39">
                  <a:extLst>
                    <a:ext uri="{FF2B5EF4-FFF2-40B4-BE49-F238E27FC236}">
                      <a16:creationId xmlns:a16="http://schemas.microsoft.com/office/drawing/2014/main" id="{3392A190-8CF6-4A5D-A39E-41B1EA839FC6}"/>
                    </a:ext>
                  </a:extLst>
                </xdr:cNvPr>
                <xdr:cNvSpPr txBox="1"/>
              </xdr:nvSpPr>
              <xdr:spPr>
                <a:xfrm rot="16200000">
                  <a:off x="21752330" y="10122534"/>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accent6">
                          <a:lumMod val="50000"/>
                        </a:schemeClr>
                      </a:solidFill>
                      <a:latin typeface="Book Antiqua" panose="02040602050305030304" pitchFamily="18" charset="0"/>
                    </a:rPr>
                    <a:t>utilisables</a:t>
                  </a:r>
                </a:p>
              </xdr:txBody>
            </xdr:sp>
          </xdr:grpSp>
          <xdr:grpSp>
            <xdr:nvGrpSpPr>
              <xdr:cNvPr id="33" name="Groupe 32">
                <a:extLst>
                  <a:ext uri="{FF2B5EF4-FFF2-40B4-BE49-F238E27FC236}">
                    <a16:creationId xmlns:a16="http://schemas.microsoft.com/office/drawing/2014/main" id="{D7F92781-998D-41E4-B953-3ACB7D76F001}"/>
                  </a:ext>
                </a:extLst>
              </xdr:cNvPr>
              <xdr:cNvGrpSpPr/>
            </xdr:nvGrpSpPr>
            <xdr:grpSpPr>
              <a:xfrm rot="5400000">
                <a:off x="21137289" y="11118637"/>
                <a:ext cx="1408044" cy="1441173"/>
                <a:chOff x="21128934" y="10031614"/>
                <a:chExt cx="1408044" cy="715464"/>
              </a:xfrm>
            </xdr:grpSpPr>
            <xdr:sp macro="" textlink="$S$21">
              <xdr:nvSpPr>
                <xdr:cNvPr id="37" name="Flèche : chevron 36">
                  <a:extLst>
                    <a:ext uri="{FF2B5EF4-FFF2-40B4-BE49-F238E27FC236}">
                      <a16:creationId xmlns:a16="http://schemas.microsoft.com/office/drawing/2014/main" id="{01074834-75D1-4247-B050-B4DFF3CD9704}"/>
                    </a:ext>
                  </a:extLst>
                </xdr:cNvPr>
                <xdr:cNvSpPr/>
              </xdr:nvSpPr>
              <xdr:spPr>
                <a:xfrm>
                  <a:off x="21128934" y="10113065"/>
                  <a:ext cx="1408044" cy="563362"/>
                </a:xfrm>
                <a:prstGeom prst="chevron">
                  <a:avLst>
                    <a:gd name="adj" fmla="val 37280"/>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6CB16518-57C8-43ED-BAED-EB631FF16204}" type="TxLink">
                    <a:rPr lang="en-US" sz="1400" b="1" i="0" u="none" strike="noStrike">
                      <a:solidFill>
                        <a:srgbClr val="C00000"/>
                      </a:solidFill>
                      <a:effectLst/>
                      <a:latin typeface="Book Antiqua"/>
                    </a:rPr>
                    <a:pPr algn="ctr"/>
                    <a:t>0 L</a:t>
                  </a:fld>
                  <a:endParaRPr lang="fr-FR" sz="1400" b="1">
                    <a:solidFill>
                      <a:srgbClr val="C00000"/>
                    </a:solidFill>
                    <a:effectLst/>
                  </a:endParaRPr>
                </a:p>
              </xdr:txBody>
            </xdr:sp>
            <xdr:sp macro="" textlink="">
              <xdr:nvSpPr>
                <xdr:cNvPr id="38" name="ZoneTexte 37">
                  <a:extLst>
                    <a:ext uri="{FF2B5EF4-FFF2-40B4-BE49-F238E27FC236}">
                      <a16:creationId xmlns:a16="http://schemas.microsoft.com/office/drawing/2014/main" id="{98524180-AA64-4332-8B51-82AD01CDC342}"/>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C00000"/>
                      </a:solidFill>
                      <a:latin typeface="Book Antiqua" panose="02040602050305030304" pitchFamily="18" charset="0"/>
                    </a:rPr>
                    <a:t>non utilis.</a:t>
                  </a:r>
                </a:p>
              </xdr:txBody>
            </xdr:sp>
          </xdr:grpSp>
          <xdr:grpSp>
            <xdr:nvGrpSpPr>
              <xdr:cNvPr id="34" name="Groupe 33">
                <a:extLst>
                  <a:ext uri="{FF2B5EF4-FFF2-40B4-BE49-F238E27FC236}">
                    <a16:creationId xmlns:a16="http://schemas.microsoft.com/office/drawing/2014/main" id="{9BA737D2-8C5A-499F-B712-940504DB4887}"/>
                  </a:ext>
                </a:extLst>
              </xdr:cNvPr>
              <xdr:cNvGrpSpPr/>
            </xdr:nvGrpSpPr>
            <xdr:grpSpPr>
              <a:xfrm rot="5400000">
                <a:off x="21132320" y="12049604"/>
                <a:ext cx="1408044" cy="1441173"/>
                <a:chOff x="21128935" y="10031614"/>
                <a:chExt cx="1408044" cy="715464"/>
              </a:xfrm>
            </xdr:grpSpPr>
            <xdr:sp macro="" textlink="Carburant_Bloc_10">
              <xdr:nvSpPr>
                <xdr:cNvPr id="35" name="Flèche : chevron 42">
                  <a:extLst>
                    <a:ext uri="{FF2B5EF4-FFF2-40B4-BE49-F238E27FC236}">
                      <a16:creationId xmlns:a16="http://schemas.microsoft.com/office/drawing/2014/main" id="{03C84906-4143-4F8D-97C1-F47CD3895B1D}"/>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46281A4F-B069-42CF-89BE-86118E910FD9}" type="TxLink">
                    <a:rPr lang="en-US" sz="1400" b="1" i="0" u="none" strike="noStrike">
                      <a:solidFill>
                        <a:srgbClr val="FFFFFF"/>
                      </a:solidFill>
                      <a:effectLst/>
                      <a:latin typeface="Book Antiqua"/>
                    </a:rPr>
                    <a:pPr algn="ctr"/>
                    <a:t>77,0 L</a:t>
                  </a:fld>
                  <a:endParaRPr lang="fr-FR" sz="1400" b="1">
                    <a:solidFill>
                      <a:srgbClr val="C00000"/>
                    </a:solidFill>
                    <a:effectLst/>
                  </a:endParaRPr>
                </a:p>
              </xdr:txBody>
            </xdr:sp>
            <xdr:sp macro="" textlink="">
              <xdr:nvSpPr>
                <xdr:cNvPr id="36" name="ZoneTexte 35">
                  <a:extLst>
                    <a:ext uri="{FF2B5EF4-FFF2-40B4-BE49-F238E27FC236}">
                      <a16:creationId xmlns:a16="http://schemas.microsoft.com/office/drawing/2014/main" id="{87D39B77-BC64-4313-8967-0165A92FA2D5}"/>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sp macro="" textlink="">
        <xdr:nvSpPr>
          <xdr:cNvPr id="24" name="Rectangle : coins arrondis 23">
            <a:extLst>
              <a:ext uri="{FF2B5EF4-FFF2-40B4-BE49-F238E27FC236}">
                <a16:creationId xmlns:a16="http://schemas.microsoft.com/office/drawing/2014/main" id="{D83A28DB-5A94-4A27-A020-311910788008}"/>
              </a:ext>
            </a:extLst>
          </xdr:cNvPr>
          <xdr:cNvSpPr/>
        </xdr:nvSpPr>
        <xdr:spPr>
          <a:xfrm>
            <a:off x="17072146" y="9036075"/>
            <a:ext cx="3202314" cy="417551"/>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108858</xdr:colOff>
      <xdr:row>0</xdr:row>
      <xdr:rowOff>0</xdr:rowOff>
    </xdr:from>
    <xdr:to>
      <xdr:col>0</xdr:col>
      <xdr:colOff>2771678</xdr:colOff>
      <xdr:row>50</xdr:row>
      <xdr:rowOff>0</xdr:rowOff>
    </xdr:to>
    <xdr:grpSp>
      <xdr:nvGrpSpPr>
        <xdr:cNvPr id="45" name="Groupe 44">
          <a:extLst>
            <a:ext uri="{FF2B5EF4-FFF2-40B4-BE49-F238E27FC236}">
              <a16:creationId xmlns:a16="http://schemas.microsoft.com/office/drawing/2014/main" id="{E39EEEDD-9DDA-4923-9669-054A447282CB}"/>
            </a:ext>
          </a:extLst>
        </xdr:cNvPr>
        <xdr:cNvGrpSpPr/>
      </xdr:nvGrpSpPr>
      <xdr:grpSpPr>
        <a:xfrm>
          <a:off x="108858" y="0"/>
          <a:ext cx="2662820" cy="15957176"/>
          <a:chOff x="91967" y="0"/>
          <a:chExt cx="2662820" cy="16019378"/>
        </a:xfrm>
      </xdr:grpSpPr>
      <xdr:grpSp>
        <xdr:nvGrpSpPr>
          <xdr:cNvPr id="46" name="Groupe 45">
            <a:extLst>
              <a:ext uri="{FF2B5EF4-FFF2-40B4-BE49-F238E27FC236}">
                <a16:creationId xmlns:a16="http://schemas.microsoft.com/office/drawing/2014/main" id="{CB9FC843-EA63-4368-97B7-57DBBA480541}"/>
              </a:ext>
            </a:extLst>
          </xdr:cNvPr>
          <xdr:cNvGrpSpPr/>
        </xdr:nvGrpSpPr>
        <xdr:grpSpPr>
          <a:xfrm>
            <a:off x="102577" y="0"/>
            <a:ext cx="2652210" cy="16019378"/>
            <a:chOff x="0" y="0"/>
            <a:chExt cx="2652210" cy="16416348"/>
          </a:xfrm>
        </xdr:grpSpPr>
        <xdr:grpSp>
          <xdr:nvGrpSpPr>
            <xdr:cNvPr id="48" name="Groupe 47">
              <a:extLst>
                <a:ext uri="{FF2B5EF4-FFF2-40B4-BE49-F238E27FC236}">
                  <a16:creationId xmlns:a16="http://schemas.microsoft.com/office/drawing/2014/main" id="{4753BFE9-D8FA-4EB0-AD55-272DAE875137}"/>
                </a:ext>
              </a:extLst>
            </xdr:cNvPr>
            <xdr:cNvGrpSpPr/>
          </xdr:nvGrpSpPr>
          <xdr:grpSpPr>
            <a:xfrm>
              <a:off x="0" y="0"/>
              <a:ext cx="2652210" cy="16416348"/>
              <a:chOff x="0" y="0"/>
              <a:chExt cx="2652210" cy="16412644"/>
            </a:xfrm>
          </xdr:grpSpPr>
          <xdr:grpSp>
            <xdr:nvGrpSpPr>
              <xdr:cNvPr id="50" name="Groupe 49">
                <a:extLst>
                  <a:ext uri="{FF2B5EF4-FFF2-40B4-BE49-F238E27FC236}">
                    <a16:creationId xmlns:a16="http://schemas.microsoft.com/office/drawing/2014/main" id="{302636FD-E605-47D4-B929-B74489DDAF4A}"/>
                  </a:ext>
                </a:extLst>
              </xdr:cNvPr>
              <xdr:cNvGrpSpPr/>
            </xdr:nvGrpSpPr>
            <xdr:grpSpPr>
              <a:xfrm>
                <a:off x="0" y="0"/>
                <a:ext cx="2652210" cy="16412644"/>
                <a:chOff x="0" y="0"/>
                <a:chExt cx="2652210" cy="16270892"/>
              </a:xfrm>
            </xdr:grpSpPr>
            <xdr:pic>
              <xdr:nvPicPr>
                <xdr:cNvPr id="52" name="Image 51">
                  <a:extLst>
                    <a:ext uri="{FF2B5EF4-FFF2-40B4-BE49-F238E27FC236}">
                      <a16:creationId xmlns:a16="http://schemas.microsoft.com/office/drawing/2014/main" id="{C7D9EAB8-16D5-4846-AAF1-E71B820770C4}"/>
                    </a:ext>
                  </a:extLst>
                </xdr:cNvPr>
                <xdr:cNvPicPr>
                  <a:picLocks noChangeAspect="1"/>
                </xdr:cNvPicPr>
              </xdr:nvPicPr>
              <xdr:blipFill>
                <a:blip xmlns:r="http://schemas.openxmlformats.org/officeDocument/2006/relationships" r:embed="rId5" cstate="print">
                  <a:alphaModFix amt="50000"/>
                  <a:extLst>
                    <a:ext uri="{28A0092B-C50C-407E-A947-70E740481C1C}">
                      <a14:useLocalDpi xmlns:a14="http://schemas.microsoft.com/office/drawing/2010/main" val="0"/>
                    </a:ext>
                  </a:extLst>
                </a:blip>
                <a:stretch>
                  <a:fillRect/>
                </a:stretch>
              </xdr:blipFill>
              <xdr:spPr>
                <a:xfrm>
                  <a:off x="0" y="0"/>
                  <a:ext cx="2643187" cy="16270892"/>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3" name="Groupe 52">
                  <a:extLst>
                    <a:ext uri="{FF2B5EF4-FFF2-40B4-BE49-F238E27FC236}">
                      <a16:creationId xmlns:a16="http://schemas.microsoft.com/office/drawing/2014/main" id="{5FB951C0-0A2D-49CA-A359-72C4606748BD}"/>
                    </a:ext>
                  </a:extLst>
                </xdr:cNvPr>
                <xdr:cNvGrpSpPr/>
              </xdr:nvGrpSpPr>
              <xdr:grpSpPr>
                <a:xfrm>
                  <a:off x="8283" y="2949975"/>
                  <a:ext cx="2637419" cy="1073362"/>
                  <a:chOff x="8283" y="2972387"/>
                  <a:chExt cx="2637419" cy="1090171"/>
                </a:xfrm>
              </xdr:grpSpPr>
              <xdr:sp macro="" textlink="">
                <xdr:nvSpPr>
                  <xdr:cNvPr id="67" name="Ellipse 66">
                    <a:extLst>
                      <a:ext uri="{FF2B5EF4-FFF2-40B4-BE49-F238E27FC236}">
                        <a16:creationId xmlns:a16="http://schemas.microsoft.com/office/drawing/2014/main" id="{7EA0F301-1CAD-478A-A329-92C249B524F3}"/>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8" name="ZoneTexte 67">
                    <a:extLst>
                      <a:ext uri="{FF2B5EF4-FFF2-40B4-BE49-F238E27FC236}">
                        <a16:creationId xmlns:a16="http://schemas.microsoft.com/office/drawing/2014/main" id="{705CB5F8-1559-488F-90C2-CA465525F6EA}"/>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4" name="Groupe 53">
                  <a:extLst>
                    <a:ext uri="{FF2B5EF4-FFF2-40B4-BE49-F238E27FC236}">
                      <a16:creationId xmlns:a16="http://schemas.microsoft.com/office/drawing/2014/main" id="{8C4950C8-FDBC-4F5C-8AAF-75227E895BC7}"/>
                    </a:ext>
                  </a:extLst>
                </xdr:cNvPr>
                <xdr:cNvGrpSpPr/>
              </xdr:nvGrpSpPr>
              <xdr:grpSpPr>
                <a:xfrm>
                  <a:off x="1775" y="4904976"/>
                  <a:ext cx="2650435" cy="1365994"/>
                  <a:chOff x="1775" y="4956803"/>
                  <a:chExt cx="2650435" cy="1382803"/>
                </a:xfrm>
              </xdr:grpSpPr>
              <xdr:sp macro="" textlink="">
                <xdr:nvSpPr>
                  <xdr:cNvPr id="65" name="Ellipse 64">
                    <a:extLst>
                      <a:ext uri="{FF2B5EF4-FFF2-40B4-BE49-F238E27FC236}">
                        <a16:creationId xmlns:a16="http://schemas.microsoft.com/office/drawing/2014/main" id="{EC698397-4CCC-4760-9D72-5988EC61CCB2}"/>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6" name="ZoneTexte 65">
                    <a:extLst>
                      <a:ext uri="{FF2B5EF4-FFF2-40B4-BE49-F238E27FC236}">
                        <a16:creationId xmlns:a16="http://schemas.microsoft.com/office/drawing/2014/main" id="{5B2E3B9D-A12D-4445-943F-550F64EC8097}"/>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5" name="Groupe 54">
                  <a:extLst>
                    <a:ext uri="{FF2B5EF4-FFF2-40B4-BE49-F238E27FC236}">
                      <a16:creationId xmlns:a16="http://schemas.microsoft.com/office/drawing/2014/main" id="{8CB62510-5B00-472C-BF6B-9CFFDC17861A}"/>
                    </a:ext>
                  </a:extLst>
                </xdr:cNvPr>
                <xdr:cNvGrpSpPr/>
              </xdr:nvGrpSpPr>
              <xdr:grpSpPr>
                <a:xfrm>
                  <a:off x="1775" y="6654494"/>
                  <a:ext cx="2650435" cy="1361792"/>
                  <a:chOff x="1775" y="6727332"/>
                  <a:chExt cx="2650435" cy="1382803"/>
                </a:xfrm>
              </xdr:grpSpPr>
              <xdr:sp macro="" textlink="">
                <xdr:nvSpPr>
                  <xdr:cNvPr id="63" name="Ellipse 62">
                    <a:extLst>
                      <a:ext uri="{FF2B5EF4-FFF2-40B4-BE49-F238E27FC236}">
                        <a16:creationId xmlns:a16="http://schemas.microsoft.com/office/drawing/2014/main" id="{84420070-8442-4E54-9F19-EA00DDCC9AAA}"/>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4" name="ZoneTexte 63">
                    <a:extLst>
                      <a:ext uri="{FF2B5EF4-FFF2-40B4-BE49-F238E27FC236}">
                        <a16:creationId xmlns:a16="http://schemas.microsoft.com/office/drawing/2014/main" id="{372836AC-CD61-4219-8321-A6880C010322}"/>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6" name="Groupe 55">
                  <a:extLst>
                    <a:ext uri="{FF2B5EF4-FFF2-40B4-BE49-F238E27FC236}">
                      <a16:creationId xmlns:a16="http://schemas.microsoft.com/office/drawing/2014/main" id="{60EE0972-ED24-48EE-9C13-0FEFE5FC6935}"/>
                    </a:ext>
                  </a:extLst>
                </xdr:cNvPr>
                <xdr:cNvGrpSpPr/>
              </xdr:nvGrpSpPr>
              <xdr:grpSpPr>
                <a:xfrm>
                  <a:off x="1775" y="8354988"/>
                  <a:ext cx="2650435" cy="1253934"/>
                  <a:chOff x="1775" y="8453039"/>
                  <a:chExt cx="2650435" cy="1270743"/>
                </a:xfrm>
              </xdr:grpSpPr>
              <xdr:sp macro="" textlink="">
                <xdr:nvSpPr>
                  <xdr:cNvPr id="61" name="Ellipse 60">
                    <a:extLst>
                      <a:ext uri="{FF2B5EF4-FFF2-40B4-BE49-F238E27FC236}">
                        <a16:creationId xmlns:a16="http://schemas.microsoft.com/office/drawing/2014/main" id="{9D829CB0-1E1A-4D0B-9C8D-24AB19234907}"/>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2" name="ZoneTexte 61">
                    <a:extLst>
                      <a:ext uri="{FF2B5EF4-FFF2-40B4-BE49-F238E27FC236}">
                        <a16:creationId xmlns:a16="http://schemas.microsoft.com/office/drawing/2014/main" id="{2B14357F-AA7D-4AF6-9EAB-D31FC4B97B90}"/>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7" name="Groupe 56">
                  <a:extLst>
                    <a:ext uri="{FF2B5EF4-FFF2-40B4-BE49-F238E27FC236}">
                      <a16:creationId xmlns:a16="http://schemas.microsoft.com/office/drawing/2014/main" id="{190F5E75-FF77-4CB0-B180-9019AF9A1C15}"/>
                    </a:ext>
                  </a:extLst>
                </xdr:cNvPr>
                <xdr:cNvGrpSpPr/>
              </xdr:nvGrpSpPr>
              <xdr:grpSpPr>
                <a:xfrm>
                  <a:off x="1775" y="9723905"/>
                  <a:ext cx="2650435" cy="2783261"/>
                  <a:chOff x="1775" y="9838765"/>
                  <a:chExt cx="2650435" cy="2734235"/>
                </a:xfrm>
              </xdr:grpSpPr>
              <xdr:sp macro="" textlink="">
                <xdr:nvSpPr>
                  <xdr:cNvPr id="59" name="ZoneTexte 58">
                    <a:extLst>
                      <a:ext uri="{FF2B5EF4-FFF2-40B4-BE49-F238E27FC236}">
                        <a16:creationId xmlns:a16="http://schemas.microsoft.com/office/drawing/2014/main" id="{B8BA39AD-A797-451C-8239-DBAA10926C3A}"/>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60" name="Image 59">
                    <a:extLst>
                      <a:ext uri="{FF2B5EF4-FFF2-40B4-BE49-F238E27FC236}">
                        <a16:creationId xmlns:a16="http://schemas.microsoft.com/office/drawing/2014/main" id="{260D353B-8196-43A7-8FA3-B1FAA27B9B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8" name="ZoneTexte 57">
                  <a:extLst>
                    <a:ext uri="{FF2B5EF4-FFF2-40B4-BE49-F238E27FC236}">
                      <a16:creationId xmlns:a16="http://schemas.microsoft.com/office/drawing/2014/main" id="{889FC2D0-15A5-4E4D-B2B4-C4564736D5CC}"/>
                    </a:ext>
                  </a:extLst>
                </xdr:cNvPr>
                <xdr:cNvSpPr txBox="1"/>
              </xdr:nvSpPr>
              <xdr:spPr>
                <a:xfrm>
                  <a:off x="0" y="13210334"/>
                  <a:ext cx="2650435" cy="1893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a:t>
                  </a:r>
                  <a:r>
                    <a:rPr lang="fr-FR" sz="1400">
                      <a:latin typeface="Book Antiqua" panose="02040602050305030304" pitchFamily="18" charset="0"/>
                    </a:rPr>
                    <a:t>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51" name="Image 50">
                <a:extLst>
                  <a:ext uri="{FF2B5EF4-FFF2-40B4-BE49-F238E27FC236}">
                    <a16:creationId xmlns:a16="http://schemas.microsoft.com/office/drawing/2014/main" id="{B0F9B63E-0043-4FCA-9904-608611373A2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9" name="Image 48">
              <a:extLst>
                <a:ext uri="{FF2B5EF4-FFF2-40B4-BE49-F238E27FC236}">
                  <a16:creationId xmlns:a16="http://schemas.microsoft.com/office/drawing/2014/main" id="{DA4416E8-E66A-403A-AC10-EC3E0DE781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7" name="ZoneTexte 46">
            <a:extLst>
              <a:ext uri="{FF2B5EF4-FFF2-40B4-BE49-F238E27FC236}">
                <a16:creationId xmlns:a16="http://schemas.microsoft.com/office/drawing/2014/main" id="{904D78DC-2646-4726-BD81-17F740788139}"/>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27214</xdr:colOff>
      <xdr:row>12</xdr:row>
      <xdr:rowOff>34542</xdr:rowOff>
    </xdr:from>
    <xdr:to>
      <xdr:col>11</xdr:col>
      <xdr:colOff>6670</xdr:colOff>
      <xdr:row>13</xdr:row>
      <xdr:rowOff>276686</xdr:rowOff>
    </xdr:to>
    <xdr:sp macro="" textlink="">
      <xdr:nvSpPr>
        <xdr:cNvPr id="69" name="Bulle narrative : rectangle 68">
          <a:extLst>
            <a:ext uri="{FF2B5EF4-FFF2-40B4-BE49-F238E27FC236}">
              <a16:creationId xmlns:a16="http://schemas.microsoft.com/office/drawing/2014/main" id="{C3556979-D5F7-48D8-BEDA-23B250723B35}"/>
            </a:ext>
          </a:extLst>
        </xdr:cNvPr>
        <xdr:cNvSpPr/>
      </xdr:nvSpPr>
      <xdr:spPr>
        <a:xfrm>
          <a:off x="13904406" y="4313465"/>
          <a:ext cx="2074956" cy="557202"/>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0.09872</cdr:x>
      <cdr:y>0.00507</cdr:y>
    </cdr:from>
    <cdr:to>
      <cdr:x>0.97085</cdr:x>
      <cdr:y>0.06521</cdr:y>
    </cdr:to>
    <cdr:sp macro="" textlink="">
      <cdr:nvSpPr>
        <cdr:cNvPr id="8193" name="Text Box 1"/>
        <cdr:cNvSpPr txBox="1">
          <a:spLocks xmlns:a="http://schemas.openxmlformats.org/drawingml/2006/main" noChangeArrowheads="1"/>
        </cdr:cNvSpPr>
      </cdr:nvSpPr>
      <cdr:spPr bwMode="auto">
        <a:xfrm xmlns:a="http://schemas.openxmlformats.org/drawingml/2006/main">
          <a:off x="1171638" y="26286"/>
          <a:ext cx="10350500" cy="31181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CAP10 (Catégorie A ou U) - F-GRDTF</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127481</xdr:colOff>
      <xdr:row>23</xdr:row>
      <xdr:rowOff>13607</xdr:rowOff>
    </xdr:from>
    <xdr:to>
      <xdr:col>11</xdr:col>
      <xdr:colOff>90128</xdr:colOff>
      <xdr:row>48</xdr:row>
      <xdr:rowOff>291352</xdr:rowOff>
    </xdr:to>
    <xdr:graphicFrame macro="">
      <xdr:nvGraphicFramePr>
        <xdr:cNvPr id="2" name="Chart 1">
          <a:extLst>
            <a:ext uri="{FF2B5EF4-FFF2-40B4-BE49-F238E27FC236}">
              <a16:creationId xmlns:a16="http://schemas.microsoft.com/office/drawing/2014/main" id="{F94E6AB4-A6FD-4593-8227-C6B4353A1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232834</xdr:colOff>
      <xdr:row>15</xdr:row>
      <xdr:rowOff>52917</xdr:rowOff>
    </xdr:from>
    <xdr:to>
      <xdr:col>2</xdr:col>
      <xdr:colOff>719668</xdr:colOff>
      <xdr:row>16</xdr:row>
      <xdr:rowOff>285751</xdr:rowOff>
    </xdr:to>
    <xdr:sp macro="" textlink="$D$23">
      <xdr:nvSpPr>
        <xdr:cNvPr id="3" name="Rectangle : coins arrondis 2">
          <a:extLst>
            <a:ext uri="{FF2B5EF4-FFF2-40B4-BE49-F238E27FC236}">
              <a16:creationId xmlns:a16="http://schemas.microsoft.com/office/drawing/2014/main" id="{0B217D74-6E09-4715-A61A-807FB659B14E}"/>
            </a:ext>
          </a:extLst>
        </xdr:cNvPr>
        <xdr:cNvSpPr/>
      </xdr:nvSpPr>
      <xdr:spPr>
        <a:xfrm>
          <a:off x="3080809" y="5263092"/>
          <a:ext cx="2620434"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7B926F4A-0526-4CAA-95CB-22E93FC18A55}"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265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10583</xdr:colOff>
      <xdr:row>15</xdr:row>
      <xdr:rowOff>42334</xdr:rowOff>
    </xdr:from>
    <xdr:to>
      <xdr:col>2</xdr:col>
      <xdr:colOff>941917</xdr:colOff>
      <xdr:row>15</xdr:row>
      <xdr:rowOff>306922</xdr:rowOff>
    </xdr:to>
    <xdr:sp macro="" textlink="">
      <xdr:nvSpPr>
        <xdr:cNvPr id="4" name="ZoneTexte 3">
          <a:extLst>
            <a:ext uri="{FF2B5EF4-FFF2-40B4-BE49-F238E27FC236}">
              <a16:creationId xmlns:a16="http://schemas.microsoft.com/office/drawing/2014/main" id="{F0061F2F-E957-4B22-A4DB-B740313E4E81}"/>
            </a:ext>
          </a:extLst>
        </xdr:cNvPr>
        <xdr:cNvSpPr txBox="1"/>
      </xdr:nvSpPr>
      <xdr:spPr>
        <a:xfrm>
          <a:off x="2858558" y="5252509"/>
          <a:ext cx="3064934"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0</xdr:colOff>
      <xdr:row>0</xdr:row>
      <xdr:rowOff>54428</xdr:rowOff>
    </xdr:from>
    <xdr:to>
      <xdr:col>2</xdr:col>
      <xdr:colOff>541215</xdr:colOff>
      <xdr:row>0</xdr:row>
      <xdr:rowOff>571499</xdr:rowOff>
    </xdr:to>
    <xdr:grpSp>
      <xdr:nvGrpSpPr>
        <xdr:cNvPr id="5" name="Groupe 4">
          <a:extLst>
            <a:ext uri="{FF2B5EF4-FFF2-40B4-BE49-F238E27FC236}">
              <a16:creationId xmlns:a16="http://schemas.microsoft.com/office/drawing/2014/main" id="{66400EB4-73B4-4373-85AF-76DE2F9F2880}"/>
            </a:ext>
          </a:extLst>
        </xdr:cNvPr>
        <xdr:cNvGrpSpPr/>
      </xdr:nvGrpSpPr>
      <xdr:grpSpPr>
        <a:xfrm>
          <a:off x="2846294" y="54428"/>
          <a:ext cx="2670333" cy="517071"/>
          <a:chOff x="1156608" y="20411"/>
          <a:chExt cx="2677536" cy="517071"/>
        </a:xfrm>
      </xdr:grpSpPr>
      <xdr:sp macro="" textlink="">
        <xdr:nvSpPr>
          <xdr:cNvPr id="6" name="Ellipse 5">
            <a:extLst>
              <a:ext uri="{FF2B5EF4-FFF2-40B4-BE49-F238E27FC236}">
                <a16:creationId xmlns:a16="http://schemas.microsoft.com/office/drawing/2014/main" id="{9A1A4EF6-D08E-698E-3DD0-9B9C0715BFA8}"/>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7" name="Ellipse 6">
            <a:extLst>
              <a:ext uri="{FF2B5EF4-FFF2-40B4-BE49-F238E27FC236}">
                <a16:creationId xmlns:a16="http://schemas.microsoft.com/office/drawing/2014/main" id="{786610EF-49B4-F01B-0CAB-2234AEFC5E0A}"/>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8" name="ZoneTexte 7">
            <a:extLst>
              <a:ext uri="{FF2B5EF4-FFF2-40B4-BE49-F238E27FC236}">
                <a16:creationId xmlns:a16="http://schemas.microsoft.com/office/drawing/2014/main" id="{DF1894AB-CCE0-10E2-32E7-BA5AE7ABDBA3}"/>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9" name="ZoneTexte 8">
            <a:extLst>
              <a:ext uri="{FF2B5EF4-FFF2-40B4-BE49-F238E27FC236}">
                <a16:creationId xmlns:a16="http://schemas.microsoft.com/office/drawing/2014/main" id="{AAAB88AF-153F-B321-D791-930AA45A0478}"/>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2</xdr:col>
      <xdr:colOff>554490</xdr:colOff>
      <xdr:row>8</xdr:row>
      <xdr:rowOff>217809</xdr:rowOff>
    </xdr:from>
    <xdr:to>
      <xdr:col>2</xdr:col>
      <xdr:colOff>1044347</xdr:colOff>
      <xdr:row>10</xdr:row>
      <xdr:rowOff>87944</xdr:rowOff>
    </xdr:to>
    <xdr:sp macro="" textlink="">
      <xdr:nvSpPr>
        <xdr:cNvPr id="10" name="Ellipse 9">
          <a:extLst>
            <a:ext uri="{FF2B5EF4-FFF2-40B4-BE49-F238E27FC236}">
              <a16:creationId xmlns:a16="http://schemas.microsoft.com/office/drawing/2014/main" id="{A833E1FB-27D9-4514-BA84-C180F06441C5}"/>
            </a:ext>
          </a:extLst>
        </xdr:cNvPr>
        <xdr:cNvSpPr/>
      </xdr:nvSpPr>
      <xdr:spPr>
        <a:xfrm>
          <a:off x="5536065" y="3227709"/>
          <a:ext cx="489857" cy="49878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13863</xdr:colOff>
      <xdr:row>7</xdr:row>
      <xdr:rowOff>72046</xdr:rowOff>
    </xdr:from>
    <xdr:to>
      <xdr:col>12</xdr:col>
      <xdr:colOff>509322</xdr:colOff>
      <xdr:row>8</xdr:row>
      <xdr:rowOff>250075</xdr:rowOff>
    </xdr:to>
    <xdr:sp macro="" textlink="">
      <xdr:nvSpPr>
        <xdr:cNvPr id="11" name="Ellipse 10">
          <a:extLst>
            <a:ext uri="{FF2B5EF4-FFF2-40B4-BE49-F238E27FC236}">
              <a16:creationId xmlns:a16="http://schemas.microsoft.com/office/drawing/2014/main" id="{AFB1FDAB-C05E-4C5B-87DF-536E6E6BD1AF}"/>
            </a:ext>
          </a:extLst>
        </xdr:cNvPr>
        <xdr:cNvSpPr/>
      </xdr:nvSpPr>
      <xdr:spPr>
        <a:xfrm>
          <a:off x="16406388" y="2767621"/>
          <a:ext cx="495459" cy="49235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6441</xdr:colOff>
      <xdr:row>7</xdr:row>
      <xdr:rowOff>69245</xdr:rowOff>
    </xdr:from>
    <xdr:to>
      <xdr:col>7</xdr:col>
      <xdr:colOff>501901</xdr:colOff>
      <xdr:row>8</xdr:row>
      <xdr:rowOff>251475</xdr:rowOff>
    </xdr:to>
    <xdr:sp macro="" textlink="">
      <xdr:nvSpPr>
        <xdr:cNvPr id="12" name="Ellipse 11">
          <a:extLst>
            <a:ext uri="{FF2B5EF4-FFF2-40B4-BE49-F238E27FC236}">
              <a16:creationId xmlns:a16="http://schemas.microsoft.com/office/drawing/2014/main" id="{1B1115D5-BA57-456D-91CB-591C7E08C191}"/>
            </a:ext>
          </a:extLst>
        </xdr:cNvPr>
        <xdr:cNvSpPr/>
      </xdr:nvSpPr>
      <xdr:spPr>
        <a:xfrm>
          <a:off x="9560016" y="2764820"/>
          <a:ext cx="495460" cy="4965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21</a:t>
          </a:r>
        </a:p>
      </xdr:txBody>
    </xdr:sp>
    <xdr:clientData/>
  </xdr:twoCellAnchor>
  <xdr:twoCellAnchor>
    <xdr:from>
      <xdr:col>12</xdr:col>
      <xdr:colOff>7266</xdr:colOff>
      <xdr:row>17</xdr:row>
      <xdr:rowOff>216854</xdr:rowOff>
    </xdr:from>
    <xdr:to>
      <xdr:col>12</xdr:col>
      <xdr:colOff>515919</xdr:colOff>
      <xdr:row>19</xdr:row>
      <xdr:rowOff>93259</xdr:rowOff>
    </xdr:to>
    <xdr:sp macro="" textlink="">
      <xdr:nvSpPr>
        <xdr:cNvPr id="13" name="Ellipse 12">
          <a:extLst>
            <a:ext uri="{FF2B5EF4-FFF2-40B4-BE49-F238E27FC236}">
              <a16:creationId xmlns:a16="http://schemas.microsoft.com/office/drawing/2014/main" id="{D86D2CB7-E253-4CCB-85EE-740BF35FCB08}"/>
            </a:ext>
          </a:extLst>
        </xdr:cNvPr>
        <xdr:cNvSpPr/>
      </xdr:nvSpPr>
      <xdr:spPr>
        <a:xfrm>
          <a:off x="16399791" y="6055679"/>
          <a:ext cx="508653" cy="50505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editAs="absolute">
    <xdr:from>
      <xdr:col>12</xdr:col>
      <xdr:colOff>20083</xdr:colOff>
      <xdr:row>27</xdr:row>
      <xdr:rowOff>86591</xdr:rowOff>
    </xdr:from>
    <xdr:to>
      <xdr:col>18</xdr:col>
      <xdr:colOff>69273</xdr:colOff>
      <xdr:row>40</xdr:row>
      <xdr:rowOff>203678</xdr:rowOff>
    </xdr:to>
    <xdr:grpSp>
      <xdr:nvGrpSpPr>
        <xdr:cNvPr id="15" name="Groupe 14">
          <a:extLst>
            <a:ext uri="{FF2B5EF4-FFF2-40B4-BE49-F238E27FC236}">
              <a16:creationId xmlns:a16="http://schemas.microsoft.com/office/drawing/2014/main" id="{73EF599C-6083-49CC-81BF-FE6D3BA454AD}"/>
            </a:ext>
          </a:extLst>
        </xdr:cNvPr>
        <xdr:cNvGrpSpPr/>
      </xdr:nvGrpSpPr>
      <xdr:grpSpPr>
        <a:xfrm>
          <a:off x="16447907" y="9051297"/>
          <a:ext cx="4957366" cy="4196028"/>
          <a:chOff x="18635382" y="9424146"/>
          <a:chExt cx="5319226" cy="5031441"/>
        </a:xfrm>
      </xdr:grpSpPr>
      <xdr:grpSp>
        <xdr:nvGrpSpPr>
          <xdr:cNvPr id="16" name="Groupe 15">
            <a:extLst>
              <a:ext uri="{FF2B5EF4-FFF2-40B4-BE49-F238E27FC236}">
                <a16:creationId xmlns:a16="http://schemas.microsoft.com/office/drawing/2014/main" id="{F4370F21-E4D2-A6C3-FA81-EAE1663DEE28}"/>
              </a:ext>
            </a:extLst>
          </xdr:cNvPr>
          <xdr:cNvGrpSpPr/>
        </xdr:nvGrpSpPr>
        <xdr:grpSpPr>
          <a:xfrm>
            <a:off x="18635382" y="9424146"/>
            <a:ext cx="5319226" cy="5031441"/>
            <a:chOff x="18635382" y="9424146"/>
            <a:chExt cx="5319226" cy="5031441"/>
          </a:xfrm>
        </xdr:grpSpPr>
        <xdr:sp macro="" textlink="">
          <xdr:nvSpPr>
            <xdr:cNvPr id="18" name="Rectangle : coins arrondis 17">
              <a:extLst>
                <a:ext uri="{FF2B5EF4-FFF2-40B4-BE49-F238E27FC236}">
                  <a16:creationId xmlns:a16="http://schemas.microsoft.com/office/drawing/2014/main" id="{D6AAF17D-9101-0562-2997-94FA91CAF317}"/>
                </a:ext>
              </a:extLst>
            </xdr:cNvPr>
            <xdr:cNvSpPr/>
          </xdr:nvSpPr>
          <xdr:spPr>
            <a:xfrm>
              <a:off x="18635382" y="9424146"/>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19" name="Groupe 18">
              <a:extLst>
                <a:ext uri="{FF2B5EF4-FFF2-40B4-BE49-F238E27FC236}">
                  <a16:creationId xmlns:a16="http://schemas.microsoft.com/office/drawing/2014/main" id="{E28D3628-5522-E92F-E8AF-19B63CB63935}"/>
                </a:ext>
              </a:extLst>
            </xdr:cNvPr>
            <xdr:cNvGrpSpPr/>
          </xdr:nvGrpSpPr>
          <xdr:grpSpPr>
            <a:xfrm>
              <a:off x="18720133" y="9488680"/>
              <a:ext cx="5234475" cy="4602831"/>
              <a:chOff x="18126221" y="9410239"/>
              <a:chExt cx="5234475" cy="4602831"/>
            </a:xfrm>
          </xdr:grpSpPr>
          <xdr:graphicFrame macro="">
            <xdr:nvGraphicFramePr>
              <xdr:cNvPr id="20" name="Graphique 19">
                <a:extLst>
                  <a:ext uri="{FF2B5EF4-FFF2-40B4-BE49-F238E27FC236}">
                    <a16:creationId xmlns:a16="http://schemas.microsoft.com/office/drawing/2014/main" id="{3D34B391-9D43-F1BC-2437-20F5F7FA7D29}"/>
                  </a:ext>
                </a:extLst>
              </xdr:cNvPr>
              <xdr:cNvGraphicFramePr/>
            </xdr:nvGraphicFramePr>
            <xdr:xfrm>
              <a:off x="18870879" y="9476987"/>
              <a:ext cx="2783259" cy="420122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1" name="Graphique 20">
                <a:extLst>
                  <a:ext uri="{FF2B5EF4-FFF2-40B4-BE49-F238E27FC236}">
                    <a16:creationId xmlns:a16="http://schemas.microsoft.com/office/drawing/2014/main" id="{D281C292-A849-6CA8-17CA-BFDFA74163D4}"/>
                  </a:ext>
                </a:extLst>
              </xdr:cNvPr>
              <xdr:cNvGraphicFramePr/>
            </xdr:nvGraphicFramePr>
            <xdr:xfrm>
              <a:off x="20577851" y="9410239"/>
              <a:ext cx="2782845" cy="4202203"/>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22" name="Groupe 21">
                <a:extLst>
                  <a:ext uri="{FF2B5EF4-FFF2-40B4-BE49-F238E27FC236}">
                    <a16:creationId xmlns:a16="http://schemas.microsoft.com/office/drawing/2014/main" id="{8FFE8A11-411B-4A09-51DC-9A68558F9655}"/>
                  </a:ext>
                </a:extLst>
              </xdr:cNvPr>
              <xdr:cNvGrpSpPr/>
            </xdr:nvGrpSpPr>
            <xdr:grpSpPr>
              <a:xfrm>
                <a:off x="19772054" y="13230298"/>
                <a:ext cx="2575890" cy="777055"/>
                <a:chOff x="20540874" y="13124387"/>
                <a:chExt cx="2592456" cy="779498"/>
              </a:xfrm>
            </xdr:grpSpPr>
            <xdr:sp macro="" textlink="$J$6">
              <xdr:nvSpPr>
                <xdr:cNvPr id="36" name="Rectangle : coins arrondis 35">
                  <a:extLst>
                    <a:ext uri="{FF2B5EF4-FFF2-40B4-BE49-F238E27FC236}">
                      <a16:creationId xmlns:a16="http://schemas.microsoft.com/office/drawing/2014/main" id="{3C7E07BD-9B93-511A-D622-23DDD6F91F06}"/>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1D9EEE0-D126-4E02-9A2E-6E712C723BCD}" type="TxLink">
                    <a:rPr lang="en-US" sz="1600" b="1" i="0" u="none" strike="noStrike">
                      <a:solidFill>
                        <a:schemeClr val="bg1"/>
                      </a:solidFill>
                      <a:latin typeface="Book Antiqua"/>
                    </a:rPr>
                    <a:pPr algn="ctr"/>
                    <a:t>1 h et 49 mn</a:t>
                  </a:fld>
                  <a:endParaRPr lang="fr-FR" sz="1800">
                    <a:solidFill>
                      <a:schemeClr val="bg1"/>
                    </a:solidFill>
                  </a:endParaRPr>
                </a:p>
              </xdr:txBody>
            </xdr:sp>
            <xdr:sp macro="" textlink="">
              <xdr:nvSpPr>
                <xdr:cNvPr id="37" name="Rectangle 36">
                  <a:extLst>
                    <a:ext uri="{FF2B5EF4-FFF2-40B4-BE49-F238E27FC236}">
                      <a16:creationId xmlns:a16="http://schemas.microsoft.com/office/drawing/2014/main" id="{1BF62192-F303-F4E9-AAF4-97D652ACE699}"/>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3" name="Groupe 22">
                <a:extLst>
                  <a:ext uri="{FF2B5EF4-FFF2-40B4-BE49-F238E27FC236}">
                    <a16:creationId xmlns:a16="http://schemas.microsoft.com/office/drawing/2014/main" id="{B646E7D7-6ECD-FECE-06A0-9BFD4611809C}"/>
                  </a:ext>
                </a:extLst>
              </xdr:cNvPr>
              <xdr:cNvGrpSpPr/>
            </xdr:nvGrpSpPr>
            <xdr:grpSpPr>
              <a:xfrm>
                <a:off x="18126221" y="10164186"/>
                <a:ext cx="1437373" cy="3848884"/>
                <a:chOff x="21115755" y="9612661"/>
                <a:chExt cx="1446142" cy="3861552"/>
              </a:xfrm>
            </xdr:grpSpPr>
            <xdr:grpSp>
              <xdr:nvGrpSpPr>
                <xdr:cNvPr id="24" name="Groupe 23">
                  <a:extLst>
                    <a:ext uri="{FF2B5EF4-FFF2-40B4-BE49-F238E27FC236}">
                      <a16:creationId xmlns:a16="http://schemas.microsoft.com/office/drawing/2014/main" id="{8D0CFC62-4CE3-7195-3614-28208332A5F7}"/>
                    </a:ext>
                  </a:extLst>
                </xdr:cNvPr>
                <xdr:cNvGrpSpPr/>
              </xdr:nvGrpSpPr>
              <xdr:grpSpPr>
                <a:xfrm rot="5400000">
                  <a:off x="21292935" y="9461362"/>
                  <a:ext cx="1063620" cy="1366218"/>
                  <a:chOff x="21097375" y="9615841"/>
                  <a:chExt cx="1408044" cy="1134646"/>
                </a:xfrm>
              </xdr:grpSpPr>
              <xdr:sp macro="" textlink="Capacité_carburant_Max_11">
                <xdr:nvSpPr>
                  <xdr:cNvPr id="34" name="Flèche : pentagone 33">
                    <a:extLst>
                      <a:ext uri="{FF2B5EF4-FFF2-40B4-BE49-F238E27FC236}">
                        <a16:creationId xmlns:a16="http://schemas.microsoft.com/office/drawing/2014/main" id="{F6B0F0B5-F1CB-E5B1-B1DB-979D9512BE8D}"/>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D0D10B8E-06B5-4ED1-966F-F4CD8DFC7F49}" type="TxLink">
                      <a:rPr lang="en-US" sz="1400" b="1" i="0" u="none" strike="noStrike">
                        <a:solidFill>
                          <a:srgbClr val="000000"/>
                        </a:solidFill>
                        <a:effectLst/>
                        <a:latin typeface="Book Antiqua"/>
                      </a:rPr>
                      <a:pPr algn="ctr"/>
                      <a:t>120,0 L</a:t>
                    </a:fld>
                    <a:endParaRPr lang="fr-FR" sz="1400" b="1">
                      <a:solidFill>
                        <a:srgbClr val="002060"/>
                      </a:solidFill>
                      <a:effectLst/>
                    </a:endParaRPr>
                  </a:p>
                </xdr:txBody>
              </xdr:sp>
              <xdr:sp macro="" textlink="">
                <xdr:nvSpPr>
                  <xdr:cNvPr id="35" name="ZoneTexte 34">
                    <a:extLst>
                      <a:ext uri="{FF2B5EF4-FFF2-40B4-BE49-F238E27FC236}">
                        <a16:creationId xmlns:a16="http://schemas.microsoft.com/office/drawing/2014/main" id="{79D94D82-2AF2-0919-E019-F91432A82CDC}"/>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25" name="Groupe 24">
                  <a:extLst>
                    <a:ext uri="{FF2B5EF4-FFF2-40B4-BE49-F238E27FC236}">
                      <a16:creationId xmlns:a16="http://schemas.microsoft.com/office/drawing/2014/main" id="{A4CDD144-EE23-58B1-864F-A26D0945EC1A}"/>
                    </a:ext>
                  </a:extLst>
                </xdr:cNvPr>
                <xdr:cNvGrpSpPr/>
              </xdr:nvGrpSpPr>
              <xdr:grpSpPr>
                <a:xfrm rot="5400000">
                  <a:off x="21137289" y="10185154"/>
                  <a:ext cx="1408044" cy="1441173"/>
                  <a:chOff x="21128934" y="10031614"/>
                  <a:chExt cx="1408044" cy="715464"/>
                </a:xfrm>
              </xdr:grpSpPr>
              <xdr:sp macro="" textlink="Carburant_utilisable_11">
                <xdr:nvSpPr>
                  <xdr:cNvPr id="32" name="Flèche : chevron 31">
                    <a:extLst>
                      <a:ext uri="{FF2B5EF4-FFF2-40B4-BE49-F238E27FC236}">
                        <a16:creationId xmlns:a16="http://schemas.microsoft.com/office/drawing/2014/main" id="{8E7B6B23-2CE2-D380-C6B3-A31CA4BC7CF2}"/>
                      </a:ext>
                    </a:extLst>
                  </xdr:cNvPr>
                  <xdr:cNvSpPr/>
                </xdr:nvSpPr>
                <xdr:spPr>
                  <a:xfrm>
                    <a:off x="21128934" y="10113065"/>
                    <a:ext cx="1408044" cy="563362"/>
                  </a:xfrm>
                  <a:prstGeom prst="chevron">
                    <a:avLst>
                      <a:gd name="adj" fmla="val 4102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375E46A5-33D0-4B41-A13D-3F9A0F98A675}" type="TxLink">
                      <a:rPr lang="en-US" sz="1400" b="1" i="0" u="none" strike="noStrike">
                        <a:solidFill>
                          <a:srgbClr val="000000"/>
                        </a:solidFill>
                        <a:effectLst/>
                        <a:latin typeface="Book Antiqua"/>
                      </a:rPr>
                      <a:pPr algn="ctr"/>
                      <a:t>110,0 L</a:t>
                    </a:fld>
                    <a:endParaRPr lang="fr-FR" sz="1400" b="1">
                      <a:solidFill>
                        <a:schemeClr val="accent6">
                          <a:lumMod val="50000"/>
                        </a:schemeClr>
                      </a:solidFill>
                      <a:effectLst/>
                    </a:endParaRPr>
                  </a:p>
                </xdr:txBody>
              </xdr:sp>
              <xdr:sp macro="" textlink="">
                <xdr:nvSpPr>
                  <xdr:cNvPr id="33" name="ZoneTexte 32">
                    <a:extLst>
                      <a:ext uri="{FF2B5EF4-FFF2-40B4-BE49-F238E27FC236}">
                        <a16:creationId xmlns:a16="http://schemas.microsoft.com/office/drawing/2014/main" id="{0C35895E-E572-9E8F-1CAC-C861346B4141}"/>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accent6">
                            <a:lumMod val="50000"/>
                          </a:schemeClr>
                        </a:solidFill>
                        <a:latin typeface="Book Antiqua" panose="02040602050305030304" pitchFamily="18" charset="0"/>
                      </a:rPr>
                      <a:t>utilisables</a:t>
                    </a:r>
                  </a:p>
                </xdr:txBody>
              </xdr:sp>
            </xdr:grpSp>
            <xdr:grpSp>
              <xdr:nvGrpSpPr>
                <xdr:cNvPr id="26" name="Groupe 25">
                  <a:extLst>
                    <a:ext uri="{FF2B5EF4-FFF2-40B4-BE49-F238E27FC236}">
                      <a16:creationId xmlns:a16="http://schemas.microsoft.com/office/drawing/2014/main" id="{CC4383F1-DC18-3155-B0CD-70DF1220D87B}"/>
                    </a:ext>
                  </a:extLst>
                </xdr:cNvPr>
                <xdr:cNvGrpSpPr/>
              </xdr:nvGrpSpPr>
              <xdr:grpSpPr>
                <a:xfrm rot="5400000">
                  <a:off x="21137289" y="11118637"/>
                  <a:ext cx="1408044" cy="1441173"/>
                  <a:chOff x="21128934" y="10031614"/>
                  <a:chExt cx="1408044" cy="715464"/>
                </a:xfrm>
              </xdr:grpSpPr>
              <xdr:sp macro="" textlink="$T$19">
                <xdr:nvSpPr>
                  <xdr:cNvPr id="30" name="Flèche : chevron 29">
                    <a:extLst>
                      <a:ext uri="{FF2B5EF4-FFF2-40B4-BE49-F238E27FC236}">
                        <a16:creationId xmlns:a16="http://schemas.microsoft.com/office/drawing/2014/main" id="{1FF5D749-0805-76EA-9D70-1B01C57B7541}"/>
                      </a:ext>
                    </a:extLst>
                  </xdr:cNvPr>
                  <xdr:cNvSpPr/>
                </xdr:nvSpPr>
                <xdr:spPr>
                  <a:xfrm>
                    <a:off x="21128934" y="10113065"/>
                    <a:ext cx="1408044" cy="563362"/>
                  </a:xfrm>
                  <a:prstGeom prst="chevron">
                    <a:avLst>
                      <a:gd name="adj" fmla="val 38889"/>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B14AE66C-D739-4B87-9CA2-944AC296F873}" type="TxLink">
                      <a:rPr lang="en-US" sz="1400" b="1" i="0" u="none" strike="noStrike">
                        <a:solidFill>
                          <a:srgbClr val="C00000"/>
                        </a:solidFill>
                        <a:effectLst/>
                        <a:latin typeface="Book Antiqua"/>
                      </a:rPr>
                      <a:pPr algn="ctr"/>
                      <a:t>10 L</a:t>
                    </a:fld>
                    <a:endParaRPr lang="fr-FR" sz="1400" b="1">
                      <a:solidFill>
                        <a:srgbClr val="C00000"/>
                      </a:solidFill>
                      <a:effectLst/>
                    </a:endParaRPr>
                  </a:p>
                </xdr:txBody>
              </xdr:sp>
              <xdr:sp macro="" textlink="">
                <xdr:nvSpPr>
                  <xdr:cNvPr id="31" name="ZoneTexte 30">
                    <a:extLst>
                      <a:ext uri="{FF2B5EF4-FFF2-40B4-BE49-F238E27FC236}">
                        <a16:creationId xmlns:a16="http://schemas.microsoft.com/office/drawing/2014/main" id="{EDF99B9A-0AA5-BFCB-BBE3-C02180083DDD}"/>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C00000"/>
                        </a:solidFill>
                        <a:latin typeface="Book Antiqua" panose="02040602050305030304" pitchFamily="18" charset="0"/>
                      </a:rPr>
                      <a:t>non utilis.</a:t>
                    </a:r>
                  </a:p>
                </xdr:txBody>
              </xdr:sp>
            </xdr:grpSp>
            <xdr:grpSp>
              <xdr:nvGrpSpPr>
                <xdr:cNvPr id="27" name="Groupe 26">
                  <a:extLst>
                    <a:ext uri="{FF2B5EF4-FFF2-40B4-BE49-F238E27FC236}">
                      <a16:creationId xmlns:a16="http://schemas.microsoft.com/office/drawing/2014/main" id="{25479AD3-5FC4-ECC1-30AA-59514B3C8B35}"/>
                    </a:ext>
                  </a:extLst>
                </xdr:cNvPr>
                <xdr:cNvGrpSpPr/>
              </xdr:nvGrpSpPr>
              <xdr:grpSpPr>
                <a:xfrm rot="5400000">
                  <a:off x="21132320" y="12049604"/>
                  <a:ext cx="1408044" cy="1441173"/>
                  <a:chOff x="21128935" y="10031614"/>
                  <a:chExt cx="1408044" cy="715464"/>
                </a:xfrm>
              </xdr:grpSpPr>
              <xdr:sp macro="" textlink="Carburant_Bloc_11">
                <xdr:nvSpPr>
                  <xdr:cNvPr id="28" name="Flèche : chevron 42">
                    <a:extLst>
                      <a:ext uri="{FF2B5EF4-FFF2-40B4-BE49-F238E27FC236}">
                        <a16:creationId xmlns:a16="http://schemas.microsoft.com/office/drawing/2014/main" id="{B2F88C96-A986-BD13-5ECB-6DD092D3FC08}"/>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281CABE7-2429-43AB-AFFC-1166F3DD3215}" type="TxLink">
                      <a:rPr lang="en-US" sz="1400" b="1" i="0" u="none" strike="noStrike">
                        <a:solidFill>
                          <a:srgbClr val="FFFFFF"/>
                        </a:solidFill>
                        <a:effectLst/>
                        <a:latin typeface="Book Antiqua"/>
                      </a:rPr>
                      <a:pPr algn="ctr"/>
                      <a:t>80,5 L</a:t>
                    </a:fld>
                    <a:endParaRPr lang="fr-FR" sz="1400" b="1">
                      <a:solidFill>
                        <a:srgbClr val="C00000"/>
                      </a:solidFill>
                      <a:effectLst/>
                    </a:endParaRPr>
                  </a:p>
                </xdr:txBody>
              </xdr:sp>
              <xdr:sp macro="" textlink="">
                <xdr:nvSpPr>
                  <xdr:cNvPr id="29" name="ZoneTexte 28">
                    <a:extLst>
                      <a:ext uri="{FF2B5EF4-FFF2-40B4-BE49-F238E27FC236}">
                        <a16:creationId xmlns:a16="http://schemas.microsoft.com/office/drawing/2014/main" id="{7EC26609-1B89-EED9-BF12-D53139327184}"/>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solidFill>
                        <a:latin typeface="Book Antiqua" panose="02040602050305030304" pitchFamily="18" charset="0"/>
                      </a:rPr>
                      <a:t>carb. au bloc</a:t>
                    </a:r>
                  </a:p>
                </xdr:txBody>
              </xdr:sp>
            </xdr:grpSp>
          </xdr:grpSp>
        </xdr:grpSp>
      </xdr:grpSp>
      <xdr:sp macro="" textlink="">
        <xdr:nvSpPr>
          <xdr:cNvPr id="17" name="Rectangle : coins arrondis 16">
            <a:extLst>
              <a:ext uri="{FF2B5EF4-FFF2-40B4-BE49-F238E27FC236}">
                <a16:creationId xmlns:a16="http://schemas.microsoft.com/office/drawing/2014/main" id="{BA305E7A-B3B3-46AE-9A37-F1C3143AC2EC}"/>
              </a:ext>
            </a:extLst>
          </xdr:cNvPr>
          <xdr:cNvSpPr/>
        </xdr:nvSpPr>
        <xdr:spPr>
          <a:xfrm>
            <a:off x="19330150" y="9511093"/>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0</xdr:col>
      <xdr:colOff>0</xdr:colOff>
      <xdr:row>0</xdr:row>
      <xdr:rowOff>0</xdr:rowOff>
    </xdr:from>
    <xdr:to>
      <xdr:col>0</xdr:col>
      <xdr:colOff>2662820</xdr:colOff>
      <xdr:row>48</xdr:row>
      <xdr:rowOff>302558</xdr:rowOff>
    </xdr:to>
    <xdr:grpSp>
      <xdr:nvGrpSpPr>
        <xdr:cNvPr id="38" name="Groupe 37">
          <a:extLst>
            <a:ext uri="{FF2B5EF4-FFF2-40B4-BE49-F238E27FC236}">
              <a16:creationId xmlns:a16="http://schemas.microsoft.com/office/drawing/2014/main" id="{C44E58D2-A648-43A1-8508-97A2C8AEF60F}"/>
            </a:ext>
          </a:extLst>
        </xdr:cNvPr>
        <xdr:cNvGrpSpPr/>
      </xdr:nvGrpSpPr>
      <xdr:grpSpPr>
        <a:xfrm>
          <a:off x="0" y="0"/>
          <a:ext cx="2662820" cy="15856323"/>
          <a:chOff x="91967" y="0"/>
          <a:chExt cx="2662820" cy="15960938"/>
        </a:xfrm>
      </xdr:grpSpPr>
      <xdr:grpSp>
        <xdr:nvGrpSpPr>
          <xdr:cNvPr id="39" name="Groupe 38">
            <a:extLst>
              <a:ext uri="{FF2B5EF4-FFF2-40B4-BE49-F238E27FC236}">
                <a16:creationId xmlns:a16="http://schemas.microsoft.com/office/drawing/2014/main" id="{3FD218E5-3001-3D8A-84EB-A23697C87F4F}"/>
              </a:ext>
            </a:extLst>
          </xdr:cNvPr>
          <xdr:cNvGrpSpPr/>
        </xdr:nvGrpSpPr>
        <xdr:grpSpPr>
          <a:xfrm>
            <a:off x="102577" y="0"/>
            <a:ext cx="2652210" cy="15960938"/>
            <a:chOff x="0" y="0"/>
            <a:chExt cx="2652210" cy="16356460"/>
          </a:xfrm>
        </xdr:grpSpPr>
        <xdr:grpSp>
          <xdr:nvGrpSpPr>
            <xdr:cNvPr id="41" name="Groupe 40">
              <a:extLst>
                <a:ext uri="{FF2B5EF4-FFF2-40B4-BE49-F238E27FC236}">
                  <a16:creationId xmlns:a16="http://schemas.microsoft.com/office/drawing/2014/main" id="{ACBB6BC7-9C3F-5E7E-1D80-3070B45177A4}"/>
                </a:ext>
              </a:extLst>
            </xdr:cNvPr>
            <xdr:cNvGrpSpPr/>
          </xdr:nvGrpSpPr>
          <xdr:grpSpPr>
            <a:xfrm>
              <a:off x="0" y="0"/>
              <a:ext cx="2652210" cy="16356460"/>
              <a:chOff x="0" y="0"/>
              <a:chExt cx="2652210" cy="16352770"/>
            </a:xfrm>
          </xdr:grpSpPr>
          <xdr:grpSp>
            <xdr:nvGrpSpPr>
              <xdr:cNvPr id="43" name="Groupe 42">
                <a:extLst>
                  <a:ext uri="{FF2B5EF4-FFF2-40B4-BE49-F238E27FC236}">
                    <a16:creationId xmlns:a16="http://schemas.microsoft.com/office/drawing/2014/main" id="{F829D1B1-50AE-494D-932D-C0BE1A95CB63}"/>
                  </a:ext>
                </a:extLst>
              </xdr:cNvPr>
              <xdr:cNvGrpSpPr/>
            </xdr:nvGrpSpPr>
            <xdr:grpSpPr>
              <a:xfrm>
                <a:off x="0" y="0"/>
                <a:ext cx="2652210" cy="16352770"/>
                <a:chOff x="0" y="0"/>
                <a:chExt cx="2652210" cy="16211535"/>
              </a:xfrm>
            </xdr:grpSpPr>
            <xdr:pic>
              <xdr:nvPicPr>
                <xdr:cNvPr id="45" name="Image 44">
                  <a:extLst>
                    <a:ext uri="{FF2B5EF4-FFF2-40B4-BE49-F238E27FC236}">
                      <a16:creationId xmlns:a16="http://schemas.microsoft.com/office/drawing/2014/main" id="{572958F5-5C35-A023-FF5B-C8A597727DD8}"/>
                    </a:ext>
                  </a:extLst>
                </xdr:cNvPr>
                <xdr:cNvPicPr>
                  <a:picLocks noChangeAspect="1"/>
                </xdr:cNvPicPr>
              </xdr:nvPicPr>
              <xdr:blipFill>
                <a:blip xmlns:r="http://schemas.openxmlformats.org/officeDocument/2006/relationships" r:embed="rId4" cstate="print">
                  <a:alphaModFix amt="50000"/>
                  <a:extLst>
                    <a:ext uri="{28A0092B-C50C-407E-A947-70E740481C1C}">
                      <a14:useLocalDpi xmlns:a14="http://schemas.microsoft.com/office/drawing/2010/main" val="0"/>
                    </a:ext>
                  </a:extLst>
                </a:blip>
                <a:stretch>
                  <a:fillRect/>
                </a:stretch>
              </xdr:blipFill>
              <xdr:spPr>
                <a:xfrm>
                  <a:off x="0" y="0"/>
                  <a:ext cx="2643187" cy="16211535"/>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46" name="Groupe 45">
                  <a:extLst>
                    <a:ext uri="{FF2B5EF4-FFF2-40B4-BE49-F238E27FC236}">
                      <a16:creationId xmlns:a16="http://schemas.microsoft.com/office/drawing/2014/main" id="{957C3C9C-4C5D-90E8-74B9-7B1EC121EE44}"/>
                    </a:ext>
                  </a:extLst>
                </xdr:cNvPr>
                <xdr:cNvGrpSpPr/>
              </xdr:nvGrpSpPr>
              <xdr:grpSpPr>
                <a:xfrm>
                  <a:off x="8283" y="2949975"/>
                  <a:ext cx="2637419" cy="1073362"/>
                  <a:chOff x="8283" y="2972387"/>
                  <a:chExt cx="2637419" cy="1090171"/>
                </a:xfrm>
              </xdr:grpSpPr>
              <xdr:sp macro="" textlink="">
                <xdr:nvSpPr>
                  <xdr:cNvPr id="60" name="Ellipse 59">
                    <a:extLst>
                      <a:ext uri="{FF2B5EF4-FFF2-40B4-BE49-F238E27FC236}">
                        <a16:creationId xmlns:a16="http://schemas.microsoft.com/office/drawing/2014/main" id="{96CF3DF3-A89B-F58A-11CD-A115FE52BECC}"/>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1" name="ZoneTexte 60">
                    <a:extLst>
                      <a:ext uri="{FF2B5EF4-FFF2-40B4-BE49-F238E27FC236}">
                        <a16:creationId xmlns:a16="http://schemas.microsoft.com/office/drawing/2014/main" id="{13D82FE2-F992-BDFD-21EB-320CA6B40B5A}"/>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47" name="Groupe 46">
                  <a:extLst>
                    <a:ext uri="{FF2B5EF4-FFF2-40B4-BE49-F238E27FC236}">
                      <a16:creationId xmlns:a16="http://schemas.microsoft.com/office/drawing/2014/main" id="{F08C0642-A5E9-513F-16FD-1F286569C8C1}"/>
                    </a:ext>
                  </a:extLst>
                </xdr:cNvPr>
                <xdr:cNvGrpSpPr/>
              </xdr:nvGrpSpPr>
              <xdr:grpSpPr>
                <a:xfrm>
                  <a:off x="1775" y="4904976"/>
                  <a:ext cx="2650435" cy="1365994"/>
                  <a:chOff x="1775" y="4956803"/>
                  <a:chExt cx="2650435" cy="1382803"/>
                </a:xfrm>
              </xdr:grpSpPr>
              <xdr:sp macro="" textlink="">
                <xdr:nvSpPr>
                  <xdr:cNvPr id="58" name="Ellipse 57">
                    <a:extLst>
                      <a:ext uri="{FF2B5EF4-FFF2-40B4-BE49-F238E27FC236}">
                        <a16:creationId xmlns:a16="http://schemas.microsoft.com/office/drawing/2014/main" id="{8CB1BF05-5C11-36A8-05CB-FFF6885C3930}"/>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59" name="ZoneTexte 58">
                    <a:extLst>
                      <a:ext uri="{FF2B5EF4-FFF2-40B4-BE49-F238E27FC236}">
                        <a16:creationId xmlns:a16="http://schemas.microsoft.com/office/drawing/2014/main" id="{F59CC992-7C66-0D75-82A7-1F7C1BFDF366}"/>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48" name="Groupe 47">
                  <a:extLst>
                    <a:ext uri="{FF2B5EF4-FFF2-40B4-BE49-F238E27FC236}">
                      <a16:creationId xmlns:a16="http://schemas.microsoft.com/office/drawing/2014/main" id="{4E03C0B4-CA7D-F26B-B6E3-6DE1934F31D9}"/>
                    </a:ext>
                  </a:extLst>
                </xdr:cNvPr>
                <xdr:cNvGrpSpPr/>
              </xdr:nvGrpSpPr>
              <xdr:grpSpPr>
                <a:xfrm>
                  <a:off x="1775" y="6654494"/>
                  <a:ext cx="2650435" cy="1361792"/>
                  <a:chOff x="1775" y="6727332"/>
                  <a:chExt cx="2650435" cy="1382803"/>
                </a:xfrm>
              </xdr:grpSpPr>
              <xdr:sp macro="" textlink="">
                <xdr:nvSpPr>
                  <xdr:cNvPr id="56" name="Ellipse 55">
                    <a:extLst>
                      <a:ext uri="{FF2B5EF4-FFF2-40B4-BE49-F238E27FC236}">
                        <a16:creationId xmlns:a16="http://schemas.microsoft.com/office/drawing/2014/main" id="{9264C64B-6245-0121-5E97-EF1877D22458}"/>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57" name="ZoneTexte 56">
                    <a:extLst>
                      <a:ext uri="{FF2B5EF4-FFF2-40B4-BE49-F238E27FC236}">
                        <a16:creationId xmlns:a16="http://schemas.microsoft.com/office/drawing/2014/main" id="{8370248B-1A27-51A3-45D2-14031E33562E}"/>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49" name="Groupe 48">
                  <a:extLst>
                    <a:ext uri="{FF2B5EF4-FFF2-40B4-BE49-F238E27FC236}">
                      <a16:creationId xmlns:a16="http://schemas.microsoft.com/office/drawing/2014/main" id="{07F73835-3981-637D-6A38-DD924D10C2D4}"/>
                    </a:ext>
                  </a:extLst>
                </xdr:cNvPr>
                <xdr:cNvGrpSpPr/>
              </xdr:nvGrpSpPr>
              <xdr:grpSpPr>
                <a:xfrm>
                  <a:off x="1775" y="8354988"/>
                  <a:ext cx="2650435" cy="1253934"/>
                  <a:chOff x="1775" y="8453039"/>
                  <a:chExt cx="2650435" cy="1270743"/>
                </a:xfrm>
              </xdr:grpSpPr>
              <xdr:sp macro="" textlink="">
                <xdr:nvSpPr>
                  <xdr:cNvPr id="54" name="Ellipse 53">
                    <a:extLst>
                      <a:ext uri="{FF2B5EF4-FFF2-40B4-BE49-F238E27FC236}">
                        <a16:creationId xmlns:a16="http://schemas.microsoft.com/office/drawing/2014/main" id="{799F3967-5484-BA4E-49F4-9A55F2D55C6A}"/>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5" name="ZoneTexte 54">
                    <a:extLst>
                      <a:ext uri="{FF2B5EF4-FFF2-40B4-BE49-F238E27FC236}">
                        <a16:creationId xmlns:a16="http://schemas.microsoft.com/office/drawing/2014/main" id="{13D8DFD6-5DA6-D708-FA51-FFB8FD37A1D1}"/>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0" name="Groupe 49">
                  <a:extLst>
                    <a:ext uri="{FF2B5EF4-FFF2-40B4-BE49-F238E27FC236}">
                      <a16:creationId xmlns:a16="http://schemas.microsoft.com/office/drawing/2014/main" id="{14D1D643-E4E2-F08F-E070-80D7E8F12091}"/>
                    </a:ext>
                  </a:extLst>
                </xdr:cNvPr>
                <xdr:cNvGrpSpPr/>
              </xdr:nvGrpSpPr>
              <xdr:grpSpPr>
                <a:xfrm>
                  <a:off x="1775" y="9723905"/>
                  <a:ext cx="2650435" cy="2783261"/>
                  <a:chOff x="1775" y="9838765"/>
                  <a:chExt cx="2650435" cy="2734235"/>
                </a:xfrm>
              </xdr:grpSpPr>
              <xdr:sp macro="" textlink="">
                <xdr:nvSpPr>
                  <xdr:cNvPr id="52" name="ZoneTexte 51">
                    <a:extLst>
                      <a:ext uri="{FF2B5EF4-FFF2-40B4-BE49-F238E27FC236}">
                        <a16:creationId xmlns:a16="http://schemas.microsoft.com/office/drawing/2014/main" id="{A114C172-D29D-48C6-94A6-504B57AF0597}"/>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3" name="Image 52">
                    <a:extLst>
                      <a:ext uri="{FF2B5EF4-FFF2-40B4-BE49-F238E27FC236}">
                        <a16:creationId xmlns:a16="http://schemas.microsoft.com/office/drawing/2014/main" id="{E31373EB-292E-1D28-A137-07122375569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1" name="ZoneTexte 50">
                  <a:extLst>
                    <a:ext uri="{FF2B5EF4-FFF2-40B4-BE49-F238E27FC236}">
                      <a16:creationId xmlns:a16="http://schemas.microsoft.com/office/drawing/2014/main" id="{C23EF802-1D17-A141-0FAA-1CAAB9747267}"/>
                    </a:ext>
                  </a:extLst>
                </xdr:cNvPr>
                <xdr:cNvSpPr txBox="1"/>
              </xdr:nvSpPr>
              <xdr:spPr>
                <a:xfrm>
                  <a:off x="0" y="13210335"/>
                  <a:ext cx="2650435" cy="1958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a:t>
                  </a:r>
                  <a:r>
                    <a:rPr lang="fr-FR" sz="1400" b="1" u="sng">
                      <a:solidFill>
                        <a:srgbClr val="C00000"/>
                      </a:solidFill>
                      <a:latin typeface="Book Antiqua" panose="02040602050305030304" pitchFamily="18" charset="0"/>
                    </a:rPr>
                    <a:t>la durée du vol potentielle </a:t>
                  </a:r>
                  <a:r>
                    <a:rPr lang="fr-FR" sz="1400">
                      <a:latin typeface="Book Antiqua" panose="02040602050305030304" pitchFamily="18" charset="0"/>
                    </a:rPr>
                    <a:t>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4" name="Image 43">
                <a:extLst>
                  <a:ext uri="{FF2B5EF4-FFF2-40B4-BE49-F238E27FC236}">
                    <a16:creationId xmlns:a16="http://schemas.microsoft.com/office/drawing/2014/main" id="{4272EB52-79A9-B28A-A1DB-4F63BF7062B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2" name="Image 41">
              <a:extLst>
                <a:ext uri="{FF2B5EF4-FFF2-40B4-BE49-F238E27FC236}">
                  <a16:creationId xmlns:a16="http://schemas.microsoft.com/office/drawing/2014/main" id="{C14B5F8B-0D60-8709-DF9B-24A98409526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40" name="ZoneTexte 39">
            <a:extLst>
              <a:ext uri="{FF2B5EF4-FFF2-40B4-BE49-F238E27FC236}">
                <a16:creationId xmlns:a16="http://schemas.microsoft.com/office/drawing/2014/main" id="{ED19108D-DC54-A11C-2019-2F185C750A1F}"/>
              </a:ext>
            </a:extLst>
          </xdr:cNvPr>
          <xdr:cNvSpPr txBox="1"/>
        </xdr:nvSpPr>
        <xdr:spPr>
          <a:xfrm>
            <a:off x="91967" y="1759215"/>
            <a:ext cx="2647292" cy="880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9</xdr:col>
      <xdr:colOff>25854</xdr:colOff>
      <xdr:row>3</xdr:row>
      <xdr:rowOff>32657</xdr:rowOff>
    </xdr:from>
    <xdr:to>
      <xdr:col>11</xdr:col>
      <xdr:colOff>5310</xdr:colOff>
      <xdr:row>4</xdr:row>
      <xdr:rowOff>274801</xdr:rowOff>
    </xdr:to>
    <xdr:sp macro="" textlink="">
      <xdr:nvSpPr>
        <xdr:cNvPr id="62" name="Bulle narrative : rectangle 61">
          <a:extLst>
            <a:ext uri="{FF2B5EF4-FFF2-40B4-BE49-F238E27FC236}">
              <a16:creationId xmlns:a16="http://schemas.microsoft.com/office/drawing/2014/main" id="{1C578D90-5292-4037-A2C0-3C71B2E9382A}"/>
            </a:ext>
          </a:extLst>
        </xdr:cNvPr>
        <xdr:cNvSpPr/>
      </xdr:nvSpPr>
      <xdr:spPr>
        <a:xfrm>
          <a:off x="13941879" y="1289957"/>
          <a:ext cx="2074956" cy="556469"/>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editAs="oneCell">
    <xdr:from>
      <xdr:col>7</xdr:col>
      <xdr:colOff>1136430</xdr:colOff>
      <xdr:row>18</xdr:row>
      <xdr:rowOff>311720</xdr:rowOff>
    </xdr:from>
    <xdr:to>
      <xdr:col>9</xdr:col>
      <xdr:colOff>748862</xdr:colOff>
      <xdr:row>23</xdr:row>
      <xdr:rowOff>37725</xdr:rowOff>
    </xdr:to>
    <xdr:pic>
      <xdr:nvPicPr>
        <xdr:cNvPr id="66" name="Image 65">
          <a:extLst>
            <a:ext uri="{FF2B5EF4-FFF2-40B4-BE49-F238E27FC236}">
              <a16:creationId xmlns:a16="http://schemas.microsoft.com/office/drawing/2014/main" id="{AAB65E74-C1A6-6577-17B7-D10F45AF5B6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707413" y="6479979"/>
          <a:ext cx="3980794" cy="1302556"/>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0.09809</cdr:x>
      <cdr:y>0.00507</cdr:y>
    </cdr:from>
    <cdr:to>
      <cdr:x>0.97111</cdr:x>
      <cdr:y>0.06554</cdr:y>
    </cdr:to>
    <cdr:sp macro="" textlink="">
      <cdr:nvSpPr>
        <cdr:cNvPr id="8193" name="Text Box 1"/>
        <cdr:cNvSpPr txBox="1">
          <a:spLocks xmlns:a="http://schemas.openxmlformats.org/drawingml/2006/main" noChangeArrowheads="1"/>
        </cdr:cNvSpPr>
      </cdr:nvSpPr>
      <cdr:spPr bwMode="auto">
        <a:xfrm xmlns:a="http://schemas.openxmlformats.org/drawingml/2006/main">
          <a:off x="1164167" y="26395"/>
          <a:ext cx="10361083" cy="314824"/>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 TB20 TRINIDAD - F-GNCL</a:t>
          </a:r>
        </a:p>
      </cdr:txBody>
    </cdr:sp>
  </cdr:relSizeAnchor>
  <cdr:relSizeAnchor xmlns:cdr="http://schemas.openxmlformats.org/drawingml/2006/chartDrawing">
    <cdr:from>
      <cdr:x>0.10535</cdr:x>
      <cdr:y>0.08664</cdr:y>
    </cdr:from>
    <cdr:to>
      <cdr:x>0.34416</cdr:x>
      <cdr:y>0.19207</cdr:y>
    </cdr:to>
    <cdr:grpSp>
      <cdr:nvGrpSpPr>
        <cdr:cNvPr id="3" name="Groupe 2">
          <a:extLst xmlns:a="http://schemas.openxmlformats.org/drawingml/2006/main">
            <a:ext uri="{FF2B5EF4-FFF2-40B4-BE49-F238E27FC236}">
              <a16:creationId xmlns:a16="http://schemas.microsoft.com/office/drawing/2014/main" id="{B41730BC-6CCA-4C80-9A57-3836DC1F29EC}"/>
            </a:ext>
          </a:extLst>
        </cdr:cNvPr>
        <cdr:cNvGrpSpPr/>
      </cdr:nvGrpSpPr>
      <cdr:grpSpPr>
        <a:xfrm xmlns:a="http://schemas.openxmlformats.org/drawingml/2006/main">
          <a:off x="1386741" y="703678"/>
          <a:ext cx="3143498" cy="856288"/>
          <a:chOff x="0" y="0"/>
          <a:chExt cx="3134777" cy="825853"/>
        </a:xfrm>
      </cdr:grpSpPr>
      <cdr:sp macro="" textlink="">
        <cdr:nvSpPr>
          <cdr:cNvPr id="4" name="Rectangle 3">
            <a:extLst xmlns:a="http://schemas.openxmlformats.org/drawingml/2006/main">
              <a:ext uri="{FF2B5EF4-FFF2-40B4-BE49-F238E27FC236}">
                <a16:creationId xmlns:a16="http://schemas.microsoft.com/office/drawing/2014/main" id="{04B92A69-AE91-4BCC-9C85-2B22A21FE51F}"/>
              </a:ext>
            </a:extLst>
          </cdr:cNvPr>
          <cdr:cNvSpPr/>
        </cdr:nvSpPr>
        <cdr:spPr>
          <a:xfrm xmlns:a="http://schemas.openxmlformats.org/drawingml/2006/main">
            <a:off x="93197" y="0"/>
            <a:ext cx="3041580" cy="82585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r-FR" sz="1300">
                <a:solidFill>
                  <a:srgbClr val="C00000"/>
                </a:solidFill>
                <a:latin typeface="Book Antiqua" panose="02040602050305030304" pitchFamily="18" charset="0"/>
              </a:rPr>
              <a:t>Moment</a:t>
            </a:r>
            <a:r>
              <a:rPr lang="fr-FR" sz="1300" baseline="0">
                <a:solidFill>
                  <a:srgbClr val="C00000"/>
                </a:solidFill>
                <a:latin typeface="Book Antiqua" panose="02040602050305030304" pitchFamily="18" charset="0"/>
              </a:rPr>
              <a:t> &amp; poids au décollage</a:t>
            </a:r>
          </a:p>
          <a:p xmlns:a="http://schemas.openxmlformats.org/drawingml/2006/main">
            <a:pPr algn="l"/>
            <a:endParaRPr lang="fr-FR" sz="1300" baseline="0">
              <a:solidFill>
                <a:srgbClr val="C00000"/>
              </a:solidFill>
              <a:latin typeface="Book Antiqua" panose="02040602050305030304" pitchFamily="18" charset="0"/>
            </a:endParaRPr>
          </a:p>
          <a:p xmlns:a="http://schemas.openxmlformats.org/drawingml/2006/main">
            <a:pPr algn="l"/>
            <a:r>
              <a:rPr lang="fr-FR" sz="1300" baseline="0">
                <a:solidFill>
                  <a:schemeClr val="accent2">
                    <a:lumMod val="50000"/>
                  </a:schemeClr>
                </a:solidFill>
                <a:latin typeface="Book Antiqua" panose="02040602050305030304" pitchFamily="18" charset="0"/>
              </a:rPr>
              <a:t>Moment &amp; poids à l'atterissage</a:t>
            </a:r>
            <a:endParaRPr lang="fr-FR" sz="1300">
              <a:solidFill>
                <a:schemeClr val="accent2">
                  <a:lumMod val="50000"/>
                </a:schemeClr>
              </a:solidFill>
              <a:latin typeface="Book Antiqua" panose="02040602050305030304" pitchFamily="18" charset="0"/>
            </a:endParaRPr>
          </a:p>
        </cdr:txBody>
      </cdr:sp>
      <cdr:sp macro="" textlink="">
        <cdr:nvSpPr>
          <cdr:cNvPr id="5" name="Rectangle 4">
            <a:extLst xmlns:a="http://schemas.openxmlformats.org/drawingml/2006/main">
              <a:ext uri="{FF2B5EF4-FFF2-40B4-BE49-F238E27FC236}">
                <a16:creationId xmlns:a16="http://schemas.microsoft.com/office/drawing/2014/main" id="{CBEEA25C-9284-4D64-82D3-1999963A755A}"/>
              </a:ext>
            </a:extLst>
          </cdr:cNvPr>
          <cdr:cNvSpPr/>
        </cdr:nvSpPr>
        <cdr:spPr>
          <a:xfrm xmlns:a="http://schemas.openxmlformats.org/drawingml/2006/main" rot="2749803" flipH="1">
            <a:off x="1515" y="88839"/>
            <a:ext cx="111871" cy="114901"/>
          </a:xfrm>
          <a:prstGeom xmlns:a="http://schemas.openxmlformats.org/drawingml/2006/main" prst="rect">
            <a:avLst/>
          </a:prstGeom>
          <a:solidFill xmlns:a="http://schemas.openxmlformats.org/drawingml/2006/main">
            <a:srgbClr val="C00000"/>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sp macro="" textlink="">
        <cdr:nvSpPr>
          <cdr:cNvPr id="6" name="Rectangle 5">
            <a:extLst xmlns:a="http://schemas.openxmlformats.org/drawingml/2006/main">
              <a:ext uri="{FF2B5EF4-FFF2-40B4-BE49-F238E27FC236}">
                <a16:creationId xmlns:a16="http://schemas.microsoft.com/office/drawing/2014/main" id="{123E5AC9-A68F-4446-BF40-EA8614740A94}"/>
              </a:ext>
            </a:extLst>
          </cdr:cNvPr>
          <cdr:cNvSpPr/>
        </cdr:nvSpPr>
        <cdr:spPr>
          <a:xfrm xmlns:a="http://schemas.openxmlformats.org/drawingml/2006/main" rot="2749803" flipH="1">
            <a:off x="3608" y="490633"/>
            <a:ext cx="114485" cy="114901"/>
          </a:xfrm>
          <a:prstGeom xmlns:a="http://schemas.openxmlformats.org/drawingml/2006/main" prst="rect">
            <a:avLst/>
          </a:prstGeom>
          <a:solidFill xmlns:a="http://schemas.openxmlformats.org/drawingml/2006/main">
            <a:schemeClr val="accent2">
              <a:lumMod val="50000"/>
            </a:schemeClr>
          </a:solidFill>
          <a:ln xmlns:a="http://schemas.openxmlformats.org/drawingml/2006/main">
            <a:solidFill>
              <a:schemeClr val="accent2">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grpSp>
  </cdr:relSizeAnchor>
</c:userShapes>
</file>

<file path=xl/drawings/drawing3.xml><?xml version="1.0" encoding="utf-8"?>
<xdr:wsDr xmlns:xdr="http://schemas.openxmlformats.org/drawingml/2006/spreadsheetDrawing" xmlns:a="http://schemas.openxmlformats.org/drawingml/2006/main">
  <xdr:twoCellAnchor>
    <xdr:from>
      <xdr:col>3</xdr:col>
      <xdr:colOff>693792</xdr:colOff>
      <xdr:row>3</xdr:row>
      <xdr:rowOff>246112</xdr:rowOff>
    </xdr:from>
    <xdr:to>
      <xdr:col>7</xdr:col>
      <xdr:colOff>395618</xdr:colOff>
      <xdr:row>12</xdr:row>
      <xdr:rowOff>130154</xdr:rowOff>
    </xdr:to>
    <xdr:grpSp>
      <xdr:nvGrpSpPr>
        <xdr:cNvPr id="78869" name="Groupe 78868">
          <a:extLst>
            <a:ext uri="{FF2B5EF4-FFF2-40B4-BE49-F238E27FC236}">
              <a16:creationId xmlns:a16="http://schemas.microsoft.com/office/drawing/2014/main" id="{73F09648-C72E-42E6-BD1B-A1ECCB80D65C}"/>
            </a:ext>
          </a:extLst>
        </xdr:cNvPr>
        <xdr:cNvGrpSpPr/>
      </xdr:nvGrpSpPr>
      <xdr:grpSpPr>
        <a:xfrm>
          <a:off x="2979792" y="1176200"/>
          <a:ext cx="2749826" cy="2707925"/>
          <a:chOff x="66261" y="1203415"/>
          <a:chExt cx="2749826" cy="2707925"/>
        </a:xfrm>
      </xdr:grpSpPr>
      <xdr:sp macro="" textlink="">
        <xdr:nvSpPr>
          <xdr:cNvPr id="78854" name="Rectangle : coins arrondis 78853">
            <a:extLst>
              <a:ext uri="{FF2B5EF4-FFF2-40B4-BE49-F238E27FC236}">
                <a16:creationId xmlns:a16="http://schemas.microsoft.com/office/drawing/2014/main" id="{20152240-C1F7-4855-9855-503252422430}"/>
              </a:ext>
            </a:extLst>
          </xdr:cNvPr>
          <xdr:cNvSpPr/>
        </xdr:nvSpPr>
        <xdr:spPr>
          <a:xfrm>
            <a:off x="66261" y="1203415"/>
            <a:ext cx="2749826" cy="2707925"/>
          </a:xfrm>
          <a:prstGeom prst="roundRect">
            <a:avLst>
              <a:gd name="adj" fmla="val 13618"/>
            </a:avLst>
          </a:prstGeom>
          <a:solidFill>
            <a:schemeClr val="accent2">
              <a:lumMod val="20000"/>
              <a:lumOff val="80000"/>
            </a:schemeClr>
          </a:solidFill>
          <a:ln w="57150">
            <a:solidFill>
              <a:schemeClr val="accent2">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78848" name="Image 78847">
            <a:extLst>
              <a:ext uri="{FF2B5EF4-FFF2-40B4-BE49-F238E27FC236}">
                <a16:creationId xmlns:a16="http://schemas.microsoft.com/office/drawing/2014/main" id="{F6312BA4-26D7-4EFF-BCE6-C3E301778B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932" y="1307504"/>
            <a:ext cx="1090778" cy="1086113"/>
          </a:xfrm>
          <a:prstGeom prst="rect">
            <a:avLst/>
          </a:prstGeom>
          <a:effectLst>
            <a:outerShdw blurRad="50800" dist="38100" dir="8100000" algn="tr" rotWithShape="0">
              <a:prstClr val="black">
                <a:alpha val="40000"/>
              </a:prstClr>
            </a:outerShdw>
          </a:effectLst>
          <a:scene3d>
            <a:camera prst="orthographicFront"/>
            <a:lightRig rig="threePt" dir="t"/>
          </a:scene3d>
          <a:sp3d>
            <a:bevelT/>
          </a:sp3d>
        </xdr:spPr>
      </xdr:pic>
      <xdr:grpSp>
        <xdr:nvGrpSpPr>
          <xdr:cNvPr id="78853" name="Groupe 78852">
            <a:extLst>
              <a:ext uri="{FF2B5EF4-FFF2-40B4-BE49-F238E27FC236}">
                <a16:creationId xmlns:a16="http://schemas.microsoft.com/office/drawing/2014/main" id="{90EBFE6C-51D2-44AA-8424-B52E08269B08}"/>
              </a:ext>
            </a:extLst>
          </xdr:cNvPr>
          <xdr:cNvGrpSpPr/>
        </xdr:nvGrpSpPr>
        <xdr:grpSpPr>
          <a:xfrm>
            <a:off x="229914" y="2562012"/>
            <a:ext cx="1162707" cy="1134350"/>
            <a:chOff x="1372914" y="1852646"/>
            <a:chExt cx="1162707" cy="1134166"/>
          </a:xfrm>
        </xdr:grpSpPr>
        <xdr:sp macro="" textlink="$N$5">
          <xdr:nvSpPr>
            <xdr:cNvPr id="15" name="Ellipse 14">
              <a:extLst>
                <a:ext uri="{FF2B5EF4-FFF2-40B4-BE49-F238E27FC236}">
                  <a16:creationId xmlns:a16="http://schemas.microsoft.com/office/drawing/2014/main" id="{E22D657D-1D98-4E71-9702-A421B3B23D92}"/>
                </a:ext>
              </a:extLst>
            </xdr:cNvPr>
            <xdr:cNvSpPr/>
          </xdr:nvSpPr>
          <xdr:spPr>
            <a:xfrm>
              <a:off x="1468267" y="1852646"/>
              <a:ext cx="972000" cy="969347"/>
            </a:xfrm>
            <a:prstGeom prst="ellipse">
              <a:avLst/>
            </a:prstGeom>
            <a:solidFill>
              <a:schemeClr val="accent2">
                <a:lumMod val="50000"/>
              </a:schemeClr>
            </a:solidFill>
            <a:ln>
              <a:solidFill>
                <a:schemeClr val="accent2">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53C6038-A183-4B77-B752-903AEC052FEB}"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32</a:t>
              </a:fld>
              <a:endParaRPr lang="fr-FR" sz="1400" b="1">
                <a:solidFill>
                  <a:schemeClr val="bg1"/>
                </a:solidFill>
                <a:effectLst>
                  <a:outerShdw blurRad="50800" dist="38100" dir="2700000" algn="tl" rotWithShape="0">
                    <a:prstClr val="black">
                      <a:alpha val="40000"/>
                    </a:prstClr>
                  </a:outerShdw>
                </a:effectLst>
              </a:endParaRPr>
            </a:p>
          </xdr:txBody>
        </xdr:sp>
        <xdr:sp macro="" textlink="">
          <xdr:nvSpPr>
            <xdr:cNvPr id="37" name="ZoneTexte 36">
              <a:extLst>
                <a:ext uri="{FF2B5EF4-FFF2-40B4-BE49-F238E27FC236}">
                  <a16:creationId xmlns:a16="http://schemas.microsoft.com/office/drawing/2014/main" id="{261933ED-7A1B-47A0-81B1-FEE75E0916C6}"/>
                </a:ext>
              </a:extLst>
            </xdr:cNvPr>
            <xdr:cNvSpPr txBox="1"/>
          </xdr:nvSpPr>
          <xdr:spPr>
            <a:xfrm>
              <a:off x="1372914" y="2144053"/>
              <a:ext cx="1162707" cy="842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2">
                      <a:lumMod val="50000"/>
                    </a:schemeClr>
                  </a:solidFill>
                  <a:latin typeface="Book Antiqua" panose="02040602050305030304" pitchFamily="18" charset="0"/>
                </a:rPr>
                <a:t>Km/h en Kt/h</a:t>
              </a:r>
            </a:p>
          </xdr:txBody>
        </xdr:sp>
      </xdr:grpSp>
      <xdr:grpSp>
        <xdr:nvGrpSpPr>
          <xdr:cNvPr id="39" name="Groupe 38">
            <a:extLst>
              <a:ext uri="{FF2B5EF4-FFF2-40B4-BE49-F238E27FC236}">
                <a16:creationId xmlns:a16="http://schemas.microsoft.com/office/drawing/2014/main" id="{A1349A3A-FB05-420D-B6AF-16D15EF79F84}"/>
              </a:ext>
            </a:extLst>
          </xdr:cNvPr>
          <xdr:cNvGrpSpPr/>
        </xdr:nvGrpSpPr>
        <xdr:grpSpPr>
          <a:xfrm>
            <a:off x="1440635" y="2562012"/>
            <a:ext cx="1162707" cy="1134350"/>
            <a:chOff x="1372914" y="1852646"/>
            <a:chExt cx="1162707" cy="1134166"/>
          </a:xfrm>
        </xdr:grpSpPr>
        <xdr:sp macro="" textlink="$N$6">
          <xdr:nvSpPr>
            <xdr:cNvPr id="40" name="Ellipse 39">
              <a:extLst>
                <a:ext uri="{FF2B5EF4-FFF2-40B4-BE49-F238E27FC236}">
                  <a16:creationId xmlns:a16="http://schemas.microsoft.com/office/drawing/2014/main" id="{3D061B00-8D51-4328-B8C7-1532D3395FEC}"/>
                </a:ext>
              </a:extLst>
            </xdr:cNvPr>
            <xdr:cNvSpPr/>
          </xdr:nvSpPr>
          <xdr:spPr>
            <a:xfrm>
              <a:off x="1468267" y="1852646"/>
              <a:ext cx="972000" cy="969347"/>
            </a:xfrm>
            <a:prstGeom prst="ellipse">
              <a:avLst/>
            </a:prstGeom>
            <a:solidFill>
              <a:schemeClr val="accent2">
                <a:lumMod val="50000"/>
              </a:schemeClr>
            </a:solidFill>
            <a:ln>
              <a:solidFill>
                <a:schemeClr val="accent2">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ECF061A-F4BC-4368-987F-EC1DA22CEDE9}"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111</a:t>
              </a:fld>
              <a:endParaRPr lang="fr-FR" sz="2400" b="1">
                <a:solidFill>
                  <a:schemeClr val="bg1"/>
                </a:solidFill>
                <a:effectLst>
                  <a:outerShdw blurRad="50800" dist="38100" dir="2700000" algn="tl" rotWithShape="0">
                    <a:prstClr val="black">
                      <a:alpha val="40000"/>
                    </a:prstClr>
                  </a:outerShdw>
                </a:effectLst>
              </a:endParaRPr>
            </a:p>
          </xdr:txBody>
        </xdr:sp>
        <xdr:sp macro="" textlink="">
          <xdr:nvSpPr>
            <xdr:cNvPr id="41" name="ZoneTexte 40">
              <a:extLst>
                <a:ext uri="{FF2B5EF4-FFF2-40B4-BE49-F238E27FC236}">
                  <a16:creationId xmlns:a16="http://schemas.microsoft.com/office/drawing/2014/main" id="{2FBEFDDC-CF37-4F7B-9017-A39538C1AA70}"/>
                </a:ext>
              </a:extLst>
            </xdr:cNvPr>
            <xdr:cNvSpPr txBox="1"/>
          </xdr:nvSpPr>
          <xdr:spPr>
            <a:xfrm>
              <a:off x="1372914" y="2144053"/>
              <a:ext cx="1162707" cy="842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2">
                      <a:lumMod val="50000"/>
                    </a:schemeClr>
                  </a:solidFill>
                  <a:latin typeface="Book Antiqua" panose="02040602050305030304" pitchFamily="18" charset="0"/>
                </a:rPr>
                <a:t>Kt/h en Km/h</a:t>
              </a:r>
            </a:p>
          </xdr:txBody>
        </xdr:sp>
      </xdr:grpSp>
      <xdr:grpSp>
        <xdr:nvGrpSpPr>
          <xdr:cNvPr id="78864" name="Groupe 78863">
            <a:extLst>
              <a:ext uri="{FF2B5EF4-FFF2-40B4-BE49-F238E27FC236}">
                <a16:creationId xmlns:a16="http://schemas.microsoft.com/office/drawing/2014/main" id="{FACE4488-7EAC-4022-A240-1CFDDD90AB4A}"/>
              </a:ext>
            </a:extLst>
          </xdr:cNvPr>
          <xdr:cNvGrpSpPr/>
        </xdr:nvGrpSpPr>
        <xdr:grpSpPr>
          <a:xfrm>
            <a:off x="1308652" y="1307504"/>
            <a:ext cx="1441174" cy="726920"/>
            <a:chOff x="1308652" y="1358348"/>
            <a:chExt cx="1441174" cy="728869"/>
          </a:xfrm>
        </xdr:grpSpPr>
        <xdr:sp macro="" textlink="Valeur_à_convertir">
          <xdr:nvSpPr>
            <xdr:cNvPr id="78862" name="Rectangle 78861">
              <a:extLst>
                <a:ext uri="{FF2B5EF4-FFF2-40B4-BE49-F238E27FC236}">
                  <a16:creationId xmlns:a16="http://schemas.microsoft.com/office/drawing/2014/main" id="{C703FCBA-4356-4427-A88C-93E509F392F6}"/>
                </a:ext>
              </a:extLst>
            </xdr:cNvPr>
            <xdr:cNvSpPr/>
          </xdr:nvSpPr>
          <xdr:spPr>
            <a:xfrm>
              <a:off x="1321077" y="1623391"/>
              <a:ext cx="1416325" cy="463826"/>
            </a:xfrm>
            <a:prstGeom prst="rect">
              <a:avLst/>
            </a:prstGeom>
            <a:solidFill>
              <a:schemeClr val="accent2">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78863" name="ZoneTexte 78862">
              <a:extLst>
                <a:ext uri="{FF2B5EF4-FFF2-40B4-BE49-F238E27FC236}">
                  <a16:creationId xmlns:a16="http://schemas.microsoft.com/office/drawing/2014/main" id="{F1FC31F8-C883-46FF-9BD7-B576065D25D7}"/>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chemeClr val="accent2">
                      <a:lumMod val="50000"/>
                    </a:schemeClr>
                  </a:solidFill>
                  <a:latin typeface="Book Antiqua" panose="02040602050305030304" pitchFamily="18" charset="0"/>
                </a:rPr>
                <a:t>Je convertis</a:t>
              </a:r>
            </a:p>
          </xdr:txBody>
        </xdr:sp>
      </xdr:grpSp>
    </xdr:grpSp>
    <xdr:clientData/>
  </xdr:twoCellAnchor>
  <xdr:twoCellAnchor>
    <xdr:from>
      <xdr:col>7</xdr:col>
      <xdr:colOff>625520</xdr:colOff>
      <xdr:row>3</xdr:row>
      <xdr:rowOff>246112</xdr:rowOff>
    </xdr:from>
    <xdr:to>
      <xdr:col>9</xdr:col>
      <xdr:colOff>1851346</xdr:colOff>
      <xdr:row>12</xdr:row>
      <xdr:rowOff>130154</xdr:rowOff>
    </xdr:to>
    <xdr:grpSp>
      <xdr:nvGrpSpPr>
        <xdr:cNvPr id="78868" name="Groupe 78867">
          <a:extLst>
            <a:ext uri="{FF2B5EF4-FFF2-40B4-BE49-F238E27FC236}">
              <a16:creationId xmlns:a16="http://schemas.microsoft.com/office/drawing/2014/main" id="{F46AD429-4F12-4B3B-B076-9927F65597D3}"/>
            </a:ext>
          </a:extLst>
        </xdr:cNvPr>
        <xdr:cNvGrpSpPr/>
      </xdr:nvGrpSpPr>
      <xdr:grpSpPr>
        <a:xfrm>
          <a:off x="5959520" y="1176200"/>
          <a:ext cx="2749826" cy="2707925"/>
          <a:chOff x="3031435" y="1212220"/>
          <a:chExt cx="2749826" cy="2700720"/>
        </a:xfrm>
      </xdr:grpSpPr>
      <xdr:sp macro="" textlink="">
        <xdr:nvSpPr>
          <xdr:cNvPr id="45" name="Rectangle : coins arrondis 44">
            <a:extLst>
              <a:ext uri="{FF2B5EF4-FFF2-40B4-BE49-F238E27FC236}">
                <a16:creationId xmlns:a16="http://schemas.microsoft.com/office/drawing/2014/main" id="{53E14210-7C74-4B1C-94AA-B557C942C00B}"/>
              </a:ext>
            </a:extLst>
          </xdr:cNvPr>
          <xdr:cNvSpPr/>
        </xdr:nvSpPr>
        <xdr:spPr>
          <a:xfrm>
            <a:off x="3031435" y="1212220"/>
            <a:ext cx="2749826" cy="2700720"/>
          </a:xfrm>
          <a:prstGeom prst="roundRect">
            <a:avLst>
              <a:gd name="adj" fmla="val 13618"/>
            </a:avLst>
          </a:prstGeom>
          <a:solidFill>
            <a:srgbClr val="FFCCCC"/>
          </a:solidFill>
          <a:ln w="57150">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8" name="Image 27">
            <a:extLst>
              <a:ext uri="{FF2B5EF4-FFF2-40B4-BE49-F238E27FC236}">
                <a16:creationId xmlns:a16="http://schemas.microsoft.com/office/drawing/2014/main" id="{03B25D61-7E32-4AC5-B80B-74BCDC8FF6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4317" y="1300526"/>
            <a:ext cx="1090778" cy="1086723"/>
          </a:xfrm>
          <a:prstGeom prst="rect">
            <a:avLst/>
          </a:prstGeom>
        </xdr:spPr>
      </xdr:pic>
      <xdr:grpSp>
        <xdr:nvGrpSpPr>
          <xdr:cNvPr id="78861" name="Groupe 78860">
            <a:extLst>
              <a:ext uri="{FF2B5EF4-FFF2-40B4-BE49-F238E27FC236}">
                <a16:creationId xmlns:a16="http://schemas.microsoft.com/office/drawing/2014/main" id="{951AD189-1414-433B-96B3-727D4E77BF5C}"/>
              </a:ext>
            </a:extLst>
          </xdr:cNvPr>
          <xdr:cNvGrpSpPr/>
        </xdr:nvGrpSpPr>
        <xdr:grpSpPr>
          <a:xfrm>
            <a:off x="3195088" y="2575089"/>
            <a:ext cx="1162707" cy="1107093"/>
            <a:chOff x="3195088" y="2589288"/>
            <a:chExt cx="1162707" cy="1112417"/>
          </a:xfrm>
        </xdr:grpSpPr>
        <xdr:sp macro="" textlink="$N$7">
          <xdr:nvSpPr>
            <xdr:cNvPr id="51" name="Ellipse 50">
              <a:extLst>
                <a:ext uri="{FF2B5EF4-FFF2-40B4-BE49-F238E27FC236}">
                  <a16:creationId xmlns:a16="http://schemas.microsoft.com/office/drawing/2014/main" id="{C891905F-1BD5-451E-8058-57EAF1A36085}"/>
                </a:ext>
              </a:extLst>
            </xdr:cNvPr>
            <xdr:cNvSpPr/>
          </xdr:nvSpPr>
          <xdr:spPr>
            <a:xfrm>
              <a:off x="3290441" y="2589288"/>
              <a:ext cx="972000" cy="972000"/>
            </a:xfrm>
            <a:prstGeom prst="ellipse">
              <a:avLst/>
            </a:prstGeom>
            <a:solidFill>
              <a:srgbClr val="C00000"/>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486F8B-1167-49CE-A5CF-FBE77672E855}"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132</a:t>
              </a:fld>
              <a:endParaRPr lang="fr-FR" sz="2400" b="1">
                <a:solidFill>
                  <a:schemeClr val="bg1"/>
                </a:solidFill>
                <a:effectLst>
                  <a:outerShdw blurRad="50800" dist="38100" dir="2700000" algn="tl" rotWithShape="0">
                    <a:prstClr val="black">
                      <a:alpha val="40000"/>
                    </a:prstClr>
                  </a:outerShdw>
                </a:effectLst>
              </a:endParaRPr>
            </a:p>
          </xdr:txBody>
        </xdr:sp>
        <xdr:sp macro="" textlink="">
          <xdr:nvSpPr>
            <xdr:cNvPr id="52" name="ZoneTexte 51">
              <a:extLst>
                <a:ext uri="{FF2B5EF4-FFF2-40B4-BE49-F238E27FC236}">
                  <a16:creationId xmlns:a16="http://schemas.microsoft.com/office/drawing/2014/main" id="{4AA58C44-4E66-4DC1-83CC-C44576719D4F}"/>
                </a:ext>
              </a:extLst>
            </xdr:cNvPr>
            <xdr:cNvSpPr txBox="1"/>
          </xdr:nvSpPr>
          <xdr:spPr>
            <a:xfrm>
              <a:off x="3195088"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C00000"/>
                  </a:solidFill>
                  <a:latin typeface="Book Antiqua" panose="02040602050305030304" pitchFamily="18" charset="0"/>
                </a:rPr>
                <a:t>Kg en Lb</a:t>
              </a:r>
            </a:p>
          </xdr:txBody>
        </xdr:sp>
      </xdr:grpSp>
      <xdr:grpSp>
        <xdr:nvGrpSpPr>
          <xdr:cNvPr id="78860" name="Groupe 78859">
            <a:extLst>
              <a:ext uri="{FF2B5EF4-FFF2-40B4-BE49-F238E27FC236}">
                <a16:creationId xmlns:a16="http://schemas.microsoft.com/office/drawing/2014/main" id="{F356B31B-AABB-487C-ACB2-D1E7B5B4CE86}"/>
              </a:ext>
            </a:extLst>
          </xdr:cNvPr>
          <xdr:cNvGrpSpPr/>
        </xdr:nvGrpSpPr>
        <xdr:grpSpPr>
          <a:xfrm>
            <a:off x="4405809" y="2575089"/>
            <a:ext cx="1162707" cy="1107093"/>
            <a:chOff x="4405809" y="2589288"/>
            <a:chExt cx="1162707" cy="1112417"/>
          </a:xfrm>
        </xdr:grpSpPr>
        <xdr:sp macro="" textlink="$N$8">
          <xdr:nvSpPr>
            <xdr:cNvPr id="49" name="Ellipse 48">
              <a:extLst>
                <a:ext uri="{FF2B5EF4-FFF2-40B4-BE49-F238E27FC236}">
                  <a16:creationId xmlns:a16="http://schemas.microsoft.com/office/drawing/2014/main" id="{A009565A-EAE5-4EB0-934B-241DC9EBFFA4}"/>
                </a:ext>
              </a:extLst>
            </xdr:cNvPr>
            <xdr:cNvSpPr/>
          </xdr:nvSpPr>
          <xdr:spPr>
            <a:xfrm>
              <a:off x="4501162" y="2589288"/>
              <a:ext cx="972000" cy="972000"/>
            </a:xfrm>
            <a:prstGeom prst="ellipse">
              <a:avLst/>
            </a:prstGeom>
            <a:solidFill>
              <a:srgbClr val="C00000"/>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CF09752-1C3B-48F2-AC81-2589B8E8E26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27</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50" name="ZoneTexte 49">
              <a:extLst>
                <a:ext uri="{FF2B5EF4-FFF2-40B4-BE49-F238E27FC236}">
                  <a16:creationId xmlns:a16="http://schemas.microsoft.com/office/drawing/2014/main" id="{BAE5751D-1129-4E66-A150-4453FD34A043}"/>
                </a:ext>
              </a:extLst>
            </xdr:cNvPr>
            <xdr:cNvSpPr txBox="1"/>
          </xdr:nvSpPr>
          <xdr:spPr>
            <a:xfrm>
              <a:off x="4405809"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C00000"/>
                  </a:solidFill>
                  <a:latin typeface="Book Antiqua" panose="02040602050305030304" pitchFamily="18" charset="0"/>
                </a:rPr>
                <a:t>Lb en Kg</a:t>
              </a:r>
            </a:p>
          </xdr:txBody>
        </xdr:sp>
      </xdr:grpSp>
      <xdr:grpSp>
        <xdr:nvGrpSpPr>
          <xdr:cNvPr id="77" name="Groupe 76">
            <a:extLst>
              <a:ext uri="{FF2B5EF4-FFF2-40B4-BE49-F238E27FC236}">
                <a16:creationId xmlns:a16="http://schemas.microsoft.com/office/drawing/2014/main" id="{99048110-0F9C-421A-87A3-36BADAC0BA4E}"/>
              </a:ext>
            </a:extLst>
          </xdr:cNvPr>
          <xdr:cNvGrpSpPr/>
        </xdr:nvGrpSpPr>
        <xdr:grpSpPr>
          <a:xfrm>
            <a:off x="4257261" y="1300526"/>
            <a:ext cx="1441174" cy="725320"/>
            <a:chOff x="1308652" y="1358348"/>
            <a:chExt cx="1441174" cy="728869"/>
          </a:xfrm>
        </xdr:grpSpPr>
        <xdr:sp macro="" textlink="Valeur_à_convertir">
          <xdr:nvSpPr>
            <xdr:cNvPr id="78" name="Rectangle 77">
              <a:extLst>
                <a:ext uri="{FF2B5EF4-FFF2-40B4-BE49-F238E27FC236}">
                  <a16:creationId xmlns:a16="http://schemas.microsoft.com/office/drawing/2014/main" id="{456F794B-D50D-4702-A14C-EE07B2D951CE}"/>
                </a:ext>
              </a:extLst>
            </xdr:cNvPr>
            <xdr:cNvSpPr/>
          </xdr:nvSpPr>
          <xdr:spPr>
            <a:xfrm>
              <a:off x="1321077" y="1623391"/>
              <a:ext cx="1416325" cy="463826"/>
            </a:xfrm>
            <a:prstGeom prst="rect">
              <a:avLst/>
            </a:prstGeom>
            <a:solidFill>
              <a:srgbClr val="C00000"/>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79" name="ZoneTexte 78">
              <a:extLst>
                <a:ext uri="{FF2B5EF4-FFF2-40B4-BE49-F238E27FC236}">
                  <a16:creationId xmlns:a16="http://schemas.microsoft.com/office/drawing/2014/main" id="{1E09B757-A062-43E4-9868-13E0B5A61F3B}"/>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C00000"/>
                  </a:solidFill>
                  <a:latin typeface="Book Antiqua" panose="02040602050305030304" pitchFamily="18" charset="0"/>
                </a:rPr>
                <a:t>Je convertis</a:t>
              </a:r>
            </a:p>
          </xdr:txBody>
        </xdr:sp>
      </xdr:grpSp>
    </xdr:grpSp>
    <xdr:clientData/>
  </xdr:twoCellAnchor>
  <xdr:twoCellAnchor>
    <xdr:from>
      <xdr:col>0</xdr:col>
      <xdr:colOff>41412</xdr:colOff>
      <xdr:row>13</xdr:row>
      <xdr:rowOff>94067</xdr:rowOff>
    </xdr:from>
    <xdr:to>
      <xdr:col>7</xdr:col>
      <xdr:colOff>405847</xdr:colOff>
      <xdr:row>21</xdr:row>
      <xdr:rowOff>292849</xdr:rowOff>
    </xdr:to>
    <xdr:grpSp>
      <xdr:nvGrpSpPr>
        <xdr:cNvPr id="78865" name="Groupe 78864">
          <a:extLst>
            <a:ext uri="{FF2B5EF4-FFF2-40B4-BE49-F238E27FC236}">
              <a16:creationId xmlns:a16="http://schemas.microsoft.com/office/drawing/2014/main" id="{B4A1D521-9F26-43AF-9228-A6B7740ABF9F}"/>
            </a:ext>
          </a:extLst>
        </xdr:cNvPr>
        <xdr:cNvGrpSpPr/>
      </xdr:nvGrpSpPr>
      <xdr:grpSpPr>
        <a:xfrm>
          <a:off x="41412" y="4161802"/>
          <a:ext cx="5698435" cy="2708900"/>
          <a:chOff x="66260" y="4191000"/>
          <a:chExt cx="5698435" cy="2716695"/>
        </a:xfrm>
      </xdr:grpSpPr>
      <xdr:sp macro="" textlink="">
        <xdr:nvSpPr>
          <xdr:cNvPr id="54" name="Rectangle : coins arrondis 53">
            <a:extLst>
              <a:ext uri="{FF2B5EF4-FFF2-40B4-BE49-F238E27FC236}">
                <a16:creationId xmlns:a16="http://schemas.microsoft.com/office/drawing/2014/main" id="{5A72245C-3652-4636-9C6C-D6B077D2A914}"/>
              </a:ext>
            </a:extLst>
          </xdr:cNvPr>
          <xdr:cNvSpPr/>
        </xdr:nvSpPr>
        <xdr:spPr>
          <a:xfrm>
            <a:off x="66260" y="4191000"/>
            <a:ext cx="5698435" cy="2716695"/>
          </a:xfrm>
          <a:prstGeom prst="roundRect">
            <a:avLst>
              <a:gd name="adj" fmla="val 13618"/>
            </a:avLst>
          </a:prstGeom>
          <a:solidFill>
            <a:schemeClr val="accent6">
              <a:lumMod val="20000"/>
              <a:lumOff val="80000"/>
            </a:schemeClr>
          </a:solidFill>
          <a:ln w="57150">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6" name="Image 25">
            <a:extLst>
              <a:ext uri="{FF2B5EF4-FFF2-40B4-BE49-F238E27FC236}">
                <a16:creationId xmlns:a16="http://schemas.microsoft.com/office/drawing/2014/main" id="{EF7330FA-711D-4720-BB99-B9BC7ED4A0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914" y="4291466"/>
            <a:ext cx="1090779" cy="1089035"/>
          </a:xfrm>
          <a:prstGeom prst="rect">
            <a:avLst/>
          </a:prstGeom>
        </xdr:spPr>
      </xdr:pic>
      <xdr:grpSp>
        <xdr:nvGrpSpPr>
          <xdr:cNvPr id="78859" name="Groupe 78858">
            <a:extLst>
              <a:ext uri="{FF2B5EF4-FFF2-40B4-BE49-F238E27FC236}">
                <a16:creationId xmlns:a16="http://schemas.microsoft.com/office/drawing/2014/main" id="{9D8DAE7C-C9F8-4BC2-AAD7-4AA2A0F4B2A2}"/>
              </a:ext>
            </a:extLst>
          </xdr:cNvPr>
          <xdr:cNvGrpSpPr/>
        </xdr:nvGrpSpPr>
        <xdr:grpSpPr>
          <a:xfrm>
            <a:off x="271329" y="5496486"/>
            <a:ext cx="1162707" cy="1112417"/>
            <a:chOff x="229914" y="5496486"/>
            <a:chExt cx="1162707" cy="1112417"/>
          </a:xfrm>
        </xdr:grpSpPr>
        <xdr:sp macro="" textlink="$N$9">
          <xdr:nvSpPr>
            <xdr:cNvPr id="60" name="Ellipse 59">
              <a:extLst>
                <a:ext uri="{FF2B5EF4-FFF2-40B4-BE49-F238E27FC236}">
                  <a16:creationId xmlns:a16="http://schemas.microsoft.com/office/drawing/2014/main" id="{5E566856-8AE8-4C9F-8274-F98F04C724C5}"/>
                </a:ext>
              </a:extLst>
            </xdr:cNvPr>
            <xdr:cNvSpPr/>
          </xdr:nvSpPr>
          <xdr:spPr>
            <a:xfrm>
              <a:off x="32526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402CDD-7538-4D3C-9DC7-EB674CFA1AD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197</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61" name="ZoneTexte 60">
              <a:extLst>
                <a:ext uri="{FF2B5EF4-FFF2-40B4-BE49-F238E27FC236}">
                  <a16:creationId xmlns:a16="http://schemas.microsoft.com/office/drawing/2014/main" id="{A63BF248-136A-4C31-B784-AF969BEEB5A4}"/>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M en ft</a:t>
              </a:r>
            </a:p>
          </xdr:txBody>
        </xdr:sp>
      </xdr:grpSp>
      <xdr:grpSp>
        <xdr:nvGrpSpPr>
          <xdr:cNvPr id="78858" name="Groupe 78857">
            <a:extLst>
              <a:ext uri="{FF2B5EF4-FFF2-40B4-BE49-F238E27FC236}">
                <a16:creationId xmlns:a16="http://schemas.microsoft.com/office/drawing/2014/main" id="{4EC6293A-E467-48FE-AF38-71B5C1E0C6C5}"/>
              </a:ext>
            </a:extLst>
          </xdr:cNvPr>
          <xdr:cNvGrpSpPr/>
        </xdr:nvGrpSpPr>
        <xdr:grpSpPr>
          <a:xfrm>
            <a:off x="1638449" y="5496486"/>
            <a:ext cx="1162707" cy="1112412"/>
            <a:chOff x="1597034" y="5496486"/>
            <a:chExt cx="1162707" cy="1112412"/>
          </a:xfrm>
        </xdr:grpSpPr>
        <xdr:sp macro="" textlink="$N$10">
          <xdr:nvSpPr>
            <xdr:cNvPr id="58" name="Ellipse 57">
              <a:extLst>
                <a:ext uri="{FF2B5EF4-FFF2-40B4-BE49-F238E27FC236}">
                  <a16:creationId xmlns:a16="http://schemas.microsoft.com/office/drawing/2014/main" id="{7D603632-3DB7-44D0-9077-3E9EF5EAFE95}"/>
                </a:ext>
              </a:extLst>
            </xdr:cNvPr>
            <xdr:cNvSpPr/>
          </xdr:nvSpPr>
          <xdr:spPr>
            <a:xfrm>
              <a:off x="169238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BBCE6D3-E3E1-47DC-8A2D-A04B9F37E16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18</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59" name="ZoneTexte 58">
              <a:extLst>
                <a:ext uri="{FF2B5EF4-FFF2-40B4-BE49-F238E27FC236}">
                  <a16:creationId xmlns:a16="http://schemas.microsoft.com/office/drawing/2014/main" id="{BC5A8668-4A55-4C1B-80DB-F749199A80DF}"/>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Ft en m</a:t>
              </a:r>
            </a:p>
          </xdr:txBody>
        </xdr:sp>
      </xdr:grpSp>
      <xdr:grpSp>
        <xdr:nvGrpSpPr>
          <xdr:cNvPr id="78856" name="Groupe 78855">
            <a:extLst>
              <a:ext uri="{FF2B5EF4-FFF2-40B4-BE49-F238E27FC236}">
                <a16:creationId xmlns:a16="http://schemas.microsoft.com/office/drawing/2014/main" id="{84CE92B8-D0E0-42E5-899F-2F2E6E4553C1}"/>
              </a:ext>
            </a:extLst>
          </xdr:cNvPr>
          <xdr:cNvGrpSpPr/>
        </xdr:nvGrpSpPr>
        <xdr:grpSpPr>
          <a:xfrm>
            <a:off x="3005569" y="5496486"/>
            <a:ext cx="1162707" cy="1112412"/>
            <a:chOff x="2964154" y="5496486"/>
            <a:chExt cx="1162707" cy="1112412"/>
          </a:xfrm>
        </xdr:grpSpPr>
        <xdr:sp macro="" textlink="$N$11">
          <xdr:nvSpPr>
            <xdr:cNvPr id="63" name="Ellipse 62">
              <a:extLst>
                <a:ext uri="{FF2B5EF4-FFF2-40B4-BE49-F238E27FC236}">
                  <a16:creationId xmlns:a16="http://schemas.microsoft.com/office/drawing/2014/main" id="{63B842B9-72F0-41AB-9D8A-832D71127717}"/>
                </a:ext>
              </a:extLst>
            </xdr:cNvPr>
            <xdr:cNvSpPr/>
          </xdr:nvSpPr>
          <xdr:spPr>
            <a:xfrm>
              <a:off x="305950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4E9BE1D-DC3C-40A3-A1B3-CE4FDA9B8E56}"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24</a:t>
              </a:fld>
              <a:endParaRPr lang="fr-FR" sz="3200" b="1">
                <a:solidFill>
                  <a:schemeClr val="bg1"/>
                </a:solidFill>
                <a:effectLst>
                  <a:outerShdw blurRad="50800" dist="38100" dir="2700000" algn="tl" rotWithShape="0">
                    <a:prstClr val="black">
                      <a:alpha val="40000"/>
                    </a:prstClr>
                  </a:outerShdw>
                </a:effectLst>
              </a:endParaRPr>
            </a:p>
          </xdr:txBody>
        </xdr:sp>
        <xdr:sp macro="" textlink="">
          <xdr:nvSpPr>
            <xdr:cNvPr id="64" name="ZoneTexte 63">
              <a:extLst>
                <a:ext uri="{FF2B5EF4-FFF2-40B4-BE49-F238E27FC236}">
                  <a16:creationId xmlns:a16="http://schemas.microsoft.com/office/drawing/2014/main" id="{59CB82E9-C7DC-4CAF-B0A0-057CD268B95A}"/>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Cm en in</a:t>
              </a:r>
            </a:p>
          </xdr:txBody>
        </xdr:sp>
      </xdr:grpSp>
      <xdr:grpSp>
        <xdr:nvGrpSpPr>
          <xdr:cNvPr id="78857" name="Groupe 78856">
            <a:extLst>
              <a:ext uri="{FF2B5EF4-FFF2-40B4-BE49-F238E27FC236}">
                <a16:creationId xmlns:a16="http://schemas.microsoft.com/office/drawing/2014/main" id="{70350EB3-C11B-409F-BCC7-862651EE532A}"/>
              </a:ext>
            </a:extLst>
          </xdr:cNvPr>
          <xdr:cNvGrpSpPr/>
        </xdr:nvGrpSpPr>
        <xdr:grpSpPr>
          <a:xfrm>
            <a:off x="4372689" y="5496486"/>
            <a:ext cx="1162707" cy="1112412"/>
            <a:chOff x="4331274" y="5496486"/>
            <a:chExt cx="1162707" cy="1112412"/>
          </a:xfrm>
        </xdr:grpSpPr>
        <xdr:sp macro="" textlink="$N$12">
          <xdr:nvSpPr>
            <xdr:cNvPr id="66" name="Ellipse 65">
              <a:extLst>
                <a:ext uri="{FF2B5EF4-FFF2-40B4-BE49-F238E27FC236}">
                  <a16:creationId xmlns:a16="http://schemas.microsoft.com/office/drawing/2014/main" id="{4AEFFDB4-9ACA-4AB1-A715-5F7EB6C218C9}"/>
                </a:ext>
              </a:extLst>
            </xdr:cNvPr>
            <xdr:cNvSpPr/>
          </xdr:nvSpPr>
          <xdr:spPr>
            <a:xfrm>
              <a:off x="4426627" y="5496486"/>
              <a:ext cx="972000" cy="972000"/>
            </a:xfrm>
            <a:prstGeom prst="ellipse">
              <a:avLst/>
            </a:prstGeom>
            <a:solidFill>
              <a:schemeClr val="accent6">
                <a:lumMod val="50000"/>
              </a:schemeClr>
            </a:solidFill>
            <a:ln>
              <a:solidFill>
                <a:schemeClr val="accent6">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B1C43D1-A919-4ABF-93EC-6976502568F6}"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152</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67" name="ZoneTexte 66">
              <a:extLst>
                <a:ext uri="{FF2B5EF4-FFF2-40B4-BE49-F238E27FC236}">
                  <a16:creationId xmlns:a16="http://schemas.microsoft.com/office/drawing/2014/main" id="{08B3561A-D2BA-4A92-951A-0DCE49B702B6}"/>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accent6">
                      <a:lumMod val="50000"/>
                    </a:schemeClr>
                  </a:solidFill>
                  <a:latin typeface="Book Antiqua" panose="02040602050305030304" pitchFamily="18" charset="0"/>
                </a:rPr>
                <a:t>In en cm</a:t>
              </a:r>
            </a:p>
          </xdr:txBody>
        </xdr:sp>
      </xdr:grpSp>
      <xdr:grpSp>
        <xdr:nvGrpSpPr>
          <xdr:cNvPr id="80" name="Groupe 79">
            <a:extLst>
              <a:ext uri="{FF2B5EF4-FFF2-40B4-BE49-F238E27FC236}">
                <a16:creationId xmlns:a16="http://schemas.microsoft.com/office/drawing/2014/main" id="{9A43D972-2DA6-4A6F-99F2-B28C7F1544AF}"/>
              </a:ext>
            </a:extLst>
          </xdr:cNvPr>
          <xdr:cNvGrpSpPr/>
        </xdr:nvGrpSpPr>
        <xdr:grpSpPr>
          <a:xfrm>
            <a:off x="1300370" y="4297648"/>
            <a:ext cx="1441174" cy="728869"/>
            <a:chOff x="1308652" y="1358348"/>
            <a:chExt cx="1441174" cy="728869"/>
          </a:xfrm>
        </xdr:grpSpPr>
        <xdr:sp macro="" textlink="Valeur_à_convertir">
          <xdr:nvSpPr>
            <xdr:cNvPr id="81" name="Rectangle 80">
              <a:extLst>
                <a:ext uri="{FF2B5EF4-FFF2-40B4-BE49-F238E27FC236}">
                  <a16:creationId xmlns:a16="http://schemas.microsoft.com/office/drawing/2014/main" id="{E549FF18-EA68-4280-97C4-42B7A8296B79}"/>
                </a:ext>
              </a:extLst>
            </xdr:cNvPr>
            <xdr:cNvSpPr/>
          </xdr:nvSpPr>
          <xdr:spPr>
            <a:xfrm>
              <a:off x="1321077" y="1623391"/>
              <a:ext cx="1416325" cy="463826"/>
            </a:xfrm>
            <a:prstGeom prst="rect">
              <a:avLst/>
            </a:prstGeom>
            <a:solidFill>
              <a:schemeClr val="accent6">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82" name="ZoneTexte 81">
              <a:extLst>
                <a:ext uri="{FF2B5EF4-FFF2-40B4-BE49-F238E27FC236}">
                  <a16:creationId xmlns:a16="http://schemas.microsoft.com/office/drawing/2014/main" id="{EE7243A9-DB8F-4C97-BDE6-64F7499FBBD0}"/>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chemeClr val="accent6">
                      <a:lumMod val="50000"/>
                    </a:schemeClr>
                  </a:solidFill>
                  <a:latin typeface="Book Antiqua" panose="02040602050305030304" pitchFamily="18" charset="0"/>
                </a:rPr>
                <a:t>Je convertis</a:t>
              </a:r>
            </a:p>
          </xdr:txBody>
        </xdr:sp>
      </xdr:grpSp>
      <xdr:sp macro="" textlink="">
        <xdr:nvSpPr>
          <xdr:cNvPr id="83" name="ZoneTexte 82">
            <a:extLst>
              <a:ext uri="{FF2B5EF4-FFF2-40B4-BE49-F238E27FC236}">
                <a16:creationId xmlns:a16="http://schemas.microsoft.com/office/drawing/2014/main" id="{8A859ACB-BA8F-45E1-B607-052B7A8E1E58}"/>
              </a:ext>
            </a:extLst>
          </xdr:cNvPr>
          <xdr:cNvSpPr txBox="1"/>
        </xdr:nvSpPr>
        <xdr:spPr>
          <a:xfrm>
            <a:off x="2910508" y="4251265"/>
            <a:ext cx="2671969" cy="1057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chemeClr val="accent6">
                    <a:lumMod val="50000"/>
                  </a:schemeClr>
                </a:solidFill>
                <a:latin typeface="Book Antiqua" panose="02040602050305030304" pitchFamily="18" charset="0"/>
              </a:rPr>
              <a:t>1 - Mètres en pieds</a:t>
            </a:r>
          </a:p>
          <a:p>
            <a:pPr algn="l"/>
            <a:r>
              <a:rPr lang="fr-FR" sz="1400">
                <a:solidFill>
                  <a:schemeClr val="accent6">
                    <a:lumMod val="50000"/>
                  </a:schemeClr>
                </a:solidFill>
                <a:latin typeface="Book Antiqua" panose="02040602050305030304" pitchFamily="18" charset="0"/>
              </a:rPr>
              <a:t>2 - Pieds en mètres</a:t>
            </a:r>
          </a:p>
          <a:p>
            <a:pPr algn="l"/>
            <a:r>
              <a:rPr lang="fr-FR" sz="1400">
                <a:solidFill>
                  <a:schemeClr val="accent6">
                    <a:lumMod val="50000"/>
                  </a:schemeClr>
                </a:solidFill>
                <a:latin typeface="Book Antiqua" panose="02040602050305030304" pitchFamily="18" charset="0"/>
              </a:rPr>
              <a:t>3 - Centimètres en pouces</a:t>
            </a:r>
          </a:p>
          <a:p>
            <a:pPr algn="l"/>
            <a:r>
              <a:rPr lang="fr-FR" sz="1400">
                <a:solidFill>
                  <a:schemeClr val="accent6">
                    <a:lumMod val="50000"/>
                  </a:schemeClr>
                </a:solidFill>
                <a:latin typeface="Book Antiqua" panose="02040602050305030304" pitchFamily="18" charset="0"/>
              </a:rPr>
              <a:t>4 - Pouces en centimètres</a:t>
            </a:r>
          </a:p>
        </xdr:txBody>
      </xdr:sp>
    </xdr:grpSp>
    <xdr:clientData/>
  </xdr:twoCellAnchor>
  <xdr:twoCellAnchor>
    <xdr:from>
      <xdr:col>0</xdr:col>
      <xdr:colOff>41412</xdr:colOff>
      <xdr:row>22</xdr:row>
      <xdr:rowOff>256761</xdr:rowOff>
    </xdr:from>
    <xdr:to>
      <xdr:col>7</xdr:col>
      <xdr:colOff>405847</xdr:colOff>
      <xdr:row>31</xdr:row>
      <xdr:rowOff>140804</xdr:rowOff>
    </xdr:to>
    <xdr:grpSp>
      <xdr:nvGrpSpPr>
        <xdr:cNvPr id="78866" name="Groupe 78865">
          <a:extLst>
            <a:ext uri="{FF2B5EF4-FFF2-40B4-BE49-F238E27FC236}">
              <a16:creationId xmlns:a16="http://schemas.microsoft.com/office/drawing/2014/main" id="{D2834BC5-2624-42A5-9EA0-5C87B983A772}"/>
            </a:ext>
          </a:extLst>
        </xdr:cNvPr>
        <xdr:cNvGrpSpPr/>
      </xdr:nvGrpSpPr>
      <xdr:grpSpPr>
        <a:xfrm>
          <a:off x="41412" y="7148379"/>
          <a:ext cx="5698435" cy="2707925"/>
          <a:chOff x="41412" y="7171911"/>
          <a:chExt cx="5698435" cy="2712968"/>
        </a:xfrm>
      </xdr:grpSpPr>
      <xdr:sp macro="" textlink="">
        <xdr:nvSpPr>
          <xdr:cNvPr id="87" name="Rectangle : coins arrondis 86">
            <a:extLst>
              <a:ext uri="{FF2B5EF4-FFF2-40B4-BE49-F238E27FC236}">
                <a16:creationId xmlns:a16="http://schemas.microsoft.com/office/drawing/2014/main" id="{BB53AD91-1D99-4833-83A4-743650A968AA}"/>
              </a:ext>
            </a:extLst>
          </xdr:cNvPr>
          <xdr:cNvSpPr/>
        </xdr:nvSpPr>
        <xdr:spPr>
          <a:xfrm>
            <a:off x="41412" y="7171911"/>
            <a:ext cx="5698435" cy="2712968"/>
          </a:xfrm>
          <a:prstGeom prst="roundRect">
            <a:avLst>
              <a:gd name="adj" fmla="val 13618"/>
            </a:avLst>
          </a:prstGeom>
          <a:solidFill>
            <a:srgbClr val="FFCCFF"/>
          </a:solidFill>
          <a:ln w="57150">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4" name="Image 23">
            <a:extLst>
              <a:ext uri="{FF2B5EF4-FFF2-40B4-BE49-F238E27FC236}">
                <a16:creationId xmlns:a16="http://schemas.microsoft.com/office/drawing/2014/main" id="{4BDE9C88-38D0-414E-9267-30588FDDEF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940" y="7275916"/>
            <a:ext cx="1090779" cy="1089831"/>
          </a:xfrm>
          <a:prstGeom prst="rect">
            <a:avLst/>
          </a:prstGeom>
        </xdr:spPr>
      </xdr:pic>
      <xdr:grpSp>
        <xdr:nvGrpSpPr>
          <xdr:cNvPr id="89" name="Groupe 88">
            <a:extLst>
              <a:ext uri="{FF2B5EF4-FFF2-40B4-BE49-F238E27FC236}">
                <a16:creationId xmlns:a16="http://schemas.microsoft.com/office/drawing/2014/main" id="{81C614BD-C1F5-4DCC-86F5-BC2E994556F2}"/>
              </a:ext>
            </a:extLst>
          </xdr:cNvPr>
          <xdr:cNvGrpSpPr/>
        </xdr:nvGrpSpPr>
        <xdr:grpSpPr>
          <a:xfrm>
            <a:off x="246481" y="8475741"/>
            <a:ext cx="1162707" cy="1110760"/>
            <a:chOff x="229914" y="5496486"/>
            <a:chExt cx="1162707" cy="1112417"/>
          </a:xfrm>
        </xdr:grpSpPr>
        <xdr:sp macro="" textlink="$N$13">
          <xdr:nvSpPr>
            <xdr:cNvPr id="103" name="Ellipse 102">
              <a:extLst>
                <a:ext uri="{FF2B5EF4-FFF2-40B4-BE49-F238E27FC236}">
                  <a16:creationId xmlns:a16="http://schemas.microsoft.com/office/drawing/2014/main" id="{91F3EF41-4569-481C-84BA-595DCD68DF5A}"/>
                </a:ext>
              </a:extLst>
            </xdr:cNvPr>
            <xdr:cNvSpPr/>
          </xdr:nvSpPr>
          <xdr:spPr>
            <a:xfrm>
              <a:off x="32526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5B8F567-DCA1-4963-83DF-B9701A39A41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32</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104" name="ZoneTexte 103">
              <a:extLst>
                <a:ext uri="{FF2B5EF4-FFF2-40B4-BE49-F238E27FC236}">
                  <a16:creationId xmlns:a16="http://schemas.microsoft.com/office/drawing/2014/main" id="{3AF6D1BE-8BCD-4C1F-9CB3-C2E34DF1659F}"/>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Km en nm</a:t>
              </a:r>
            </a:p>
          </xdr:txBody>
        </xdr:sp>
      </xdr:grpSp>
      <xdr:grpSp>
        <xdr:nvGrpSpPr>
          <xdr:cNvPr id="90" name="Groupe 89">
            <a:extLst>
              <a:ext uri="{FF2B5EF4-FFF2-40B4-BE49-F238E27FC236}">
                <a16:creationId xmlns:a16="http://schemas.microsoft.com/office/drawing/2014/main" id="{6516821A-5B63-4F3D-90A3-97720B7EB129}"/>
              </a:ext>
            </a:extLst>
          </xdr:cNvPr>
          <xdr:cNvGrpSpPr/>
        </xdr:nvGrpSpPr>
        <xdr:grpSpPr>
          <a:xfrm>
            <a:off x="1613601" y="8475741"/>
            <a:ext cx="1162707" cy="1110755"/>
            <a:chOff x="1597034" y="5496486"/>
            <a:chExt cx="1162707" cy="1112412"/>
          </a:xfrm>
        </xdr:grpSpPr>
        <xdr:sp macro="" textlink="$N$14">
          <xdr:nvSpPr>
            <xdr:cNvPr id="101" name="Ellipse 100">
              <a:extLst>
                <a:ext uri="{FF2B5EF4-FFF2-40B4-BE49-F238E27FC236}">
                  <a16:creationId xmlns:a16="http://schemas.microsoft.com/office/drawing/2014/main" id="{493417F9-C831-472C-84F0-AF1BD2B5AB0D}"/>
                </a:ext>
              </a:extLst>
            </xdr:cNvPr>
            <xdr:cNvSpPr/>
          </xdr:nvSpPr>
          <xdr:spPr>
            <a:xfrm>
              <a:off x="169238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54B189-6508-48CD-BF35-497F6E2F27AD}"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111</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02" name="ZoneTexte 101">
              <a:extLst>
                <a:ext uri="{FF2B5EF4-FFF2-40B4-BE49-F238E27FC236}">
                  <a16:creationId xmlns:a16="http://schemas.microsoft.com/office/drawing/2014/main" id="{B60EE2BD-42BB-4940-9858-5128F7FFCB3C}"/>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Nm en km</a:t>
              </a:r>
            </a:p>
          </xdr:txBody>
        </xdr:sp>
      </xdr:grpSp>
      <xdr:grpSp>
        <xdr:nvGrpSpPr>
          <xdr:cNvPr id="91" name="Groupe 90">
            <a:extLst>
              <a:ext uri="{FF2B5EF4-FFF2-40B4-BE49-F238E27FC236}">
                <a16:creationId xmlns:a16="http://schemas.microsoft.com/office/drawing/2014/main" id="{64B5914C-27C2-4EF3-818D-A8927CB2E24D}"/>
              </a:ext>
            </a:extLst>
          </xdr:cNvPr>
          <xdr:cNvGrpSpPr/>
        </xdr:nvGrpSpPr>
        <xdr:grpSpPr>
          <a:xfrm>
            <a:off x="2980721" y="8475741"/>
            <a:ext cx="1162707" cy="1110755"/>
            <a:chOff x="2964154" y="5496486"/>
            <a:chExt cx="1162707" cy="1112412"/>
          </a:xfrm>
        </xdr:grpSpPr>
        <xdr:sp macro="" textlink="$N$15">
          <xdr:nvSpPr>
            <xdr:cNvPr id="99" name="Ellipse 98">
              <a:extLst>
                <a:ext uri="{FF2B5EF4-FFF2-40B4-BE49-F238E27FC236}">
                  <a16:creationId xmlns:a16="http://schemas.microsoft.com/office/drawing/2014/main" id="{845ED4FA-20AD-4408-BB29-C946E259309E}"/>
                </a:ext>
              </a:extLst>
            </xdr:cNvPr>
            <xdr:cNvSpPr/>
          </xdr:nvSpPr>
          <xdr:spPr>
            <a:xfrm>
              <a:off x="305950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5AEC139-5762-4EB0-9EF9-C9FE7533F534}"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37</a:t>
              </a:fld>
              <a:endParaRPr lang="fr-FR" sz="4000" b="1">
                <a:solidFill>
                  <a:schemeClr val="bg1"/>
                </a:solidFill>
                <a:effectLst>
                  <a:outerShdw blurRad="50800" dist="38100" dir="2700000" algn="tl" rotWithShape="0">
                    <a:prstClr val="black">
                      <a:alpha val="40000"/>
                    </a:prstClr>
                  </a:outerShdw>
                </a:effectLst>
              </a:endParaRPr>
            </a:p>
          </xdr:txBody>
        </xdr:sp>
        <xdr:sp macro="" textlink="">
          <xdr:nvSpPr>
            <xdr:cNvPr id="100" name="ZoneTexte 99">
              <a:extLst>
                <a:ext uri="{FF2B5EF4-FFF2-40B4-BE49-F238E27FC236}">
                  <a16:creationId xmlns:a16="http://schemas.microsoft.com/office/drawing/2014/main" id="{B395C44D-0A37-40B0-A956-0069745F5C49}"/>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Km en mi</a:t>
              </a:r>
            </a:p>
          </xdr:txBody>
        </xdr:sp>
      </xdr:grpSp>
      <xdr:grpSp>
        <xdr:nvGrpSpPr>
          <xdr:cNvPr id="92" name="Groupe 91">
            <a:extLst>
              <a:ext uri="{FF2B5EF4-FFF2-40B4-BE49-F238E27FC236}">
                <a16:creationId xmlns:a16="http://schemas.microsoft.com/office/drawing/2014/main" id="{F45AE3DD-D9BE-4BE2-96D3-69F44CB25F6E}"/>
              </a:ext>
            </a:extLst>
          </xdr:cNvPr>
          <xdr:cNvGrpSpPr/>
        </xdr:nvGrpSpPr>
        <xdr:grpSpPr>
          <a:xfrm>
            <a:off x="4347841" y="8475741"/>
            <a:ext cx="1162707" cy="1110755"/>
            <a:chOff x="4331274" y="5496486"/>
            <a:chExt cx="1162707" cy="1112412"/>
          </a:xfrm>
        </xdr:grpSpPr>
        <xdr:sp macro="" textlink="$N$16">
          <xdr:nvSpPr>
            <xdr:cNvPr id="97" name="Ellipse 96">
              <a:extLst>
                <a:ext uri="{FF2B5EF4-FFF2-40B4-BE49-F238E27FC236}">
                  <a16:creationId xmlns:a16="http://schemas.microsoft.com/office/drawing/2014/main" id="{DF354D55-7A59-480D-A858-78A309D05A05}"/>
                </a:ext>
              </a:extLst>
            </xdr:cNvPr>
            <xdr:cNvSpPr/>
          </xdr:nvSpPr>
          <xdr:spPr>
            <a:xfrm>
              <a:off x="4426627" y="5496486"/>
              <a:ext cx="972000" cy="972000"/>
            </a:xfrm>
            <a:prstGeom prst="ellipse">
              <a:avLst/>
            </a:prstGeom>
            <a:solidFill>
              <a:srgbClr val="7030A0"/>
            </a:solidFill>
            <a:ln>
              <a:solidFill>
                <a:srgbClr val="7030A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F2CF2F9-244A-4AE4-95AF-A05B568DEF35}"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97</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98" name="ZoneTexte 97">
              <a:extLst>
                <a:ext uri="{FF2B5EF4-FFF2-40B4-BE49-F238E27FC236}">
                  <a16:creationId xmlns:a16="http://schemas.microsoft.com/office/drawing/2014/main" id="{EAB8E3EF-DE35-4EA6-8A51-C78AD7A500E3}"/>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7030A0"/>
                  </a:solidFill>
                  <a:latin typeface="Book Antiqua" panose="02040602050305030304" pitchFamily="18" charset="0"/>
                </a:rPr>
                <a:t>Mi en km</a:t>
              </a:r>
            </a:p>
          </xdr:txBody>
        </xdr:sp>
      </xdr:grpSp>
      <xdr:grpSp>
        <xdr:nvGrpSpPr>
          <xdr:cNvPr id="93" name="Groupe 92">
            <a:extLst>
              <a:ext uri="{FF2B5EF4-FFF2-40B4-BE49-F238E27FC236}">
                <a16:creationId xmlns:a16="http://schemas.microsoft.com/office/drawing/2014/main" id="{B00D06CD-2BD0-4E79-A061-C7337D393EB4}"/>
              </a:ext>
            </a:extLst>
          </xdr:cNvPr>
          <xdr:cNvGrpSpPr/>
        </xdr:nvGrpSpPr>
        <xdr:grpSpPr>
          <a:xfrm>
            <a:off x="1275522" y="7278145"/>
            <a:ext cx="1441174" cy="728041"/>
            <a:chOff x="1308652" y="1358348"/>
            <a:chExt cx="1441174" cy="728869"/>
          </a:xfrm>
        </xdr:grpSpPr>
        <xdr:sp macro="" textlink="Valeur_à_convertir">
          <xdr:nvSpPr>
            <xdr:cNvPr id="95" name="Rectangle 94">
              <a:extLst>
                <a:ext uri="{FF2B5EF4-FFF2-40B4-BE49-F238E27FC236}">
                  <a16:creationId xmlns:a16="http://schemas.microsoft.com/office/drawing/2014/main" id="{8F1E131C-5F06-4DC7-A3B3-6EC0559191BF}"/>
                </a:ext>
              </a:extLst>
            </xdr:cNvPr>
            <xdr:cNvSpPr/>
          </xdr:nvSpPr>
          <xdr:spPr>
            <a:xfrm>
              <a:off x="1321077" y="1623391"/>
              <a:ext cx="1416325" cy="463826"/>
            </a:xfrm>
            <a:prstGeom prst="rect">
              <a:avLst/>
            </a:prstGeom>
            <a:solidFill>
              <a:srgbClr val="7030A0"/>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96" name="ZoneTexte 95">
              <a:extLst>
                <a:ext uri="{FF2B5EF4-FFF2-40B4-BE49-F238E27FC236}">
                  <a16:creationId xmlns:a16="http://schemas.microsoft.com/office/drawing/2014/main" id="{366265F3-BAED-45D0-90D3-2A41F592B369}"/>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7030A0"/>
                  </a:solidFill>
                  <a:latin typeface="Book Antiqua" panose="02040602050305030304" pitchFamily="18" charset="0"/>
                </a:rPr>
                <a:t>Je convertis</a:t>
              </a:r>
            </a:p>
          </xdr:txBody>
        </xdr:sp>
      </xdr:grpSp>
      <xdr:sp macro="" textlink="">
        <xdr:nvSpPr>
          <xdr:cNvPr id="94" name="ZoneTexte 93">
            <a:extLst>
              <a:ext uri="{FF2B5EF4-FFF2-40B4-BE49-F238E27FC236}">
                <a16:creationId xmlns:a16="http://schemas.microsoft.com/office/drawing/2014/main" id="{18215B79-8BCA-4E58-A348-2916F779E8B9}"/>
              </a:ext>
            </a:extLst>
          </xdr:cNvPr>
          <xdr:cNvSpPr txBox="1"/>
        </xdr:nvSpPr>
        <xdr:spPr>
          <a:xfrm>
            <a:off x="2885660" y="7231762"/>
            <a:ext cx="2819815" cy="1056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rgbClr val="7030A0"/>
                </a:solidFill>
                <a:latin typeface="Book Antiqua" panose="02040602050305030304" pitchFamily="18" charset="0"/>
              </a:rPr>
              <a:t>1 - Kilomètres en Miles nautiques</a:t>
            </a:r>
          </a:p>
          <a:p>
            <a:pPr algn="l"/>
            <a:r>
              <a:rPr lang="fr-FR" sz="1400">
                <a:solidFill>
                  <a:srgbClr val="7030A0"/>
                </a:solidFill>
                <a:latin typeface="Book Antiqua" panose="02040602050305030304" pitchFamily="18" charset="0"/>
              </a:rPr>
              <a:t>2 - Miles nautiques en kilomètres</a:t>
            </a:r>
          </a:p>
          <a:p>
            <a:pPr algn="l"/>
            <a:r>
              <a:rPr lang="fr-FR" sz="1400">
                <a:solidFill>
                  <a:srgbClr val="7030A0"/>
                </a:solidFill>
                <a:latin typeface="Book Antiqua" panose="02040602050305030304" pitchFamily="18" charset="0"/>
              </a:rPr>
              <a:t>3 - Kilomètres en miles marins</a:t>
            </a:r>
          </a:p>
          <a:p>
            <a:pPr algn="l"/>
            <a:r>
              <a:rPr lang="fr-FR" sz="1400">
                <a:solidFill>
                  <a:srgbClr val="7030A0"/>
                </a:solidFill>
                <a:latin typeface="Book Antiqua" panose="02040602050305030304" pitchFamily="18" charset="0"/>
              </a:rPr>
              <a:t>4 - Miles marins en kilomètres</a:t>
            </a:r>
          </a:p>
        </xdr:txBody>
      </xdr:sp>
    </xdr:grpSp>
    <xdr:clientData/>
  </xdr:twoCellAnchor>
  <xdr:twoCellAnchor>
    <xdr:from>
      <xdr:col>7</xdr:col>
      <xdr:colOff>658880</xdr:colOff>
      <xdr:row>22</xdr:row>
      <xdr:rowOff>256761</xdr:rowOff>
    </xdr:from>
    <xdr:to>
      <xdr:col>10</xdr:col>
      <xdr:colOff>1099515</xdr:colOff>
      <xdr:row>31</xdr:row>
      <xdr:rowOff>140804</xdr:rowOff>
    </xdr:to>
    <xdr:grpSp>
      <xdr:nvGrpSpPr>
        <xdr:cNvPr id="78867" name="Groupe 78866">
          <a:extLst>
            <a:ext uri="{FF2B5EF4-FFF2-40B4-BE49-F238E27FC236}">
              <a16:creationId xmlns:a16="http://schemas.microsoft.com/office/drawing/2014/main" id="{30C140BC-EB4F-4D0E-B933-429C5839A50A}"/>
            </a:ext>
          </a:extLst>
        </xdr:cNvPr>
        <xdr:cNvGrpSpPr/>
      </xdr:nvGrpSpPr>
      <xdr:grpSpPr>
        <a:xfrm>
          <a:off x="5992880" y="7148379"/>
          <a:ext cx="5696194" cy="2707925"/>
          <a:chOff x="6013587" y="7161972"/>
          <a:chExt cx="5700092" cy="2716695"/>
        </a:xfrm>
      </xdr:grpSpPr>
      <xdr:sp macro="" textlink="">
        <xdr:nvSpPr>
          <xdr:cNvPr id="108" name="Rectangle : coins arrondis 107">
            <a:extLst>
              <a:ext uri="{FF2B5EF4-FFF2-40B4-BE49-F238E27FC236}">
                <a16:creationId xmlns:a16="http://schemas.microsoft.com/office/drawing/2014/main" id="{519BE283-8336-46E4-91CF-BC4A35008BDD}"/>
              </a:ext>
            </a:extLst>
          </xdr:cNvPr>
          <xdr:cNvSpPr/>
        </xdr:nvSpPr>
        <xdr:spPr>
          <a:xfrm>
            <a:off x="6013587" y="7161972"/>
            <a:ext cx="5700092" cy="2716695"/>
          </a:xfrm>
          <a:prstGeom prst="roundRect">
            <a:avLst>
              <a:gd name="adj" fmla="val 13618"/>
            </a:avLst>
          </a:prstGeom>
          <a:solidFill>
            <a:schemeClr val="accent5">
              <a:lumMod val="20000"/>
              <a:lumOff val="80000"/>
            </a:schemeClr>
          </a:solidFill>
          <a:ln w="57150">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2" name="Image 21">
            <a:extLst>
              <a:ext uri="{FF2B5EF4-FFF2-40B4-BE49-F238E27FC236}">
                <a16:creationId xmlns:a16="http://schemas.microsoft.com/office/drawing/2014/main" id="{88AFC891-1870-4C46-A5B9-99E0296C75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19164" y="7272265"/>
            <a:ext cx="1084820" cy="1090009"/>
          </a:xfrm>
          <a:prstGeom prst="rect">
            <a:avLst/>
          </a:prstGeom>
        </xdr:spPr>
      </xdr:pic>
      <xdr:grpSp>
        <xdr:nvGrpSpPr>
          <xdr:cNvPr id="110" name="Groupe 109">
            <a:extLst>
              <a:ext uri="{FF2B5EF4-FFF2-40B4-BE49-F238E27FC236}">
                <a16:creationId xmlns:a16="http://schemas.microsoft.com/office/drawing/2014/main" id="{012F4104-7B98-4F84-87E4-6EDB94EDA152}"/>
              </a:ext>
            </a:extLst>
          </xdr:cNvPr>
          <xdr:cNvGrpSpPr/>
        </xdr:nvGrpSpPr>
        <xdr:grpSpPr>
          <a:xfrm>
            <a:off x="6218656" y="8467458"/>
            <a:ext cx="1162707" cy="1112417"/>
            <a:chOff x="229914" y="5496486"/>
            <a:chExt cx="1162707" cy="1112417"/>
          </a:xfrm>
        </xdr:grpSpPr>
        <xdr:sp macro="" textlink="$N$23">
          <xdr:nvSpPr>
            <xdr:cNvPr id="124" name="Ellipse 123">
              <a:extLst>
                <a:ext uri="{FF2B5EF4-FFF2-40B4-BE49-F238E27FC236}">
                  <a16:creationId xmlns:a16="http://schemas.microsoft.com/office/drawing/2014/main" id="{550B1B92-3BA2-4BED-A859-17B4011A2644}"/>
                </a:ext>
              </a:extLst>
            </xdr:cNvPr>
            <xdr:cNvSpPr/>
          </xdr:nvSpPr>
          <xdr:spPr>
            <a:xfrm>
              <a:off x="32526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BF7DE02-6F3F-4AA8-860D-43803E1B543C}"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13</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25" name="ZoneTexte 124">
              <a:extLst>
                <a:ext uri="{FF2B5EF4-FFF2-40B4-BE49-F238E27FC236}">
                  <a16:creationId xmlns:a16="http://schemas.microsoft.com/office/drawing/2014/main" id="{656B4282-A118-4DA7-9538-3B242DD3BA09}"/>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Gal Imp</a:t>
              </a:r>
            </a:p>
          </xdr:txBody>
        </xdr:sp>
      </xdr:grpSp>
      <xdr:grpSp>
        <xdr:nvGrpSpPr>
          <xdr:cNvPr id="111" name="Groupe 110">
            <a:extLst>
              <a:ext uri="{FF2B5EF4-FFF2-40B4-BE49-F238E27FC236}">
                <a16:creationId xmlns:a16="http://schemas.microsoft.com/office/drawing/2014/main" id="{1E59A7C0-40F2-4DE5-8C52-84C432DBFD79}"/>
              </a:ext>
            </a:extLst>
          </xdr:cNvPr>
          <xdr:cNvGrpSpPr/>
        </xdr:nvGrpSpPr>
        <xdr:grpSpPr>
          <a:xfrm>
            <a:off x="7585776" y="8467458"/>
            <a:ext cx="1162707" cy="1112412"/>
            <a:chOff x="1597034" y="5496486"/>
            <a:chExt cx="1162707" cy="1112412"/>
          </a:xfrm>
        </xdr:grpSpPr>
        <xdr:sp macro="" textlink="$N$24">
          <xdr:nvSpPr>
            <xdr:cNvPr id="122" name="Ellipse 121">
              <a:extLst>
                <a:ext uri="{FF2B5EF4-FFF2-40B4-BE49-F238E27FC236}">
                  <a16:creationId xmlns:a16="http://schemas.microsoft.com/office/drawing/2014/main" id="{1BE0BC68-48C1-4C65-BF16-676C4ADCC156}"/>
                </a:ext>
              </a:extLst>
            </xdr:cNvPr>
            <xdr:cNvSpPr/>
          </xdr:nvSpPr>
          <xdr:spPr>
            <a:xfrm>
              <a:off x="169238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649BB-7494-42B5-A542-6597AC14D34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72</a:t>
              </a:fld>
              <a:endParaRPr lang="fr-FR" sz="7200" b="1">
                <a:solidFill>
                  <a:schemeClr val="bg1"/>
                </a:solidFill>
                <a:effectLst>
                  <a:outerShdw blurRad="50800" dist="38100" dir="2700000" algn="tl" rotWithShape="0">
                    <a:prstClr val="black">
                      <a:alpha val="40000"/>
                    </a:prstClr>
                  </a:outerShdw>
                </a:effectLst>
              </a:endParaRPr>
            </a:p>
          </xdr:txBody>
        </xdr:sp>
        <xdr:sp macro="" textlink="">
          <xdr:nvSpPr>
            <xdr:cNvPr id="123" name="ZoneTexte 122">
              <a:extLst>
                <a:ext uri="{FF2B5EF4-FFF2-40B4-BE49-F238E27FC236}">
                  <a16:creationId xmlns:a16="http://schemas.microsoft.com/office/drawing/2014/main" id="{7814D045-ABBA-4AA5-AF2D-8946338E5A77}"/>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Gal Imp en L</a:t>
              </a:r>
            </a:p>
          </xdr:txBody>
        </xdr:sp>
      </xdr:grpSp>
      <xdr:grpSp>
        <xdr:nvGrpSpPr>
          <xdr:cNvPr id="112" name="Groupe 111">
            <a:extLst>
              <a:ext uri="{FF2B5EF4-FFF2-40B4-BE49-F238E27FC236}">
                <a16:creationId xmlns:a16="http://schemas.microsoft.com/office/drawing/2014/main" id="{C350C67A-60AC-4F88-910F-F1A21574246A}"/>
              </a:ext>
            </a:extLst>
          </xdr:cNvPr>
          <xdr:cNvGrpSpPr/>
        </xdr:nvGrpSpPr>
        <xdr:grpSpPr>
          <a:xfrm>
            <a:off x="8952896" y="8467458"/>
            <a:ext cx="1162707" cy="1112412"/>
            <a:chOff x="2964154" y="5496486"/>
            <a:chExt cx="1162707" cy="1112412"/>
          </a:xfrm>
        </xdr:grpSpPr>
        <xdr:sp macro="" textlink="$N$25">
          <xdr:nvSpPr>
            <xdr:cNvPr id="120" name="Ellipse 119">
              <a:extLst>
                <a:ext uri="{FF2B5EF4-FFF2-40B4-BE49-F238E27FC236}">
                  <a16:creationId xmlns:a16="http://schemas.microsoft.com/office/drawing/2014/main" id="{14241EAA-21C4-40C9-ACE9-63FC669A2A67}"/>
                </a:ext>
              </a:extLst>
            </xdr:cNvPr>
            <xdr:cNvSpPr/>
          </xdr:nvSpPr>
          <xdr:spPr>
            <a:xfrm>
              <a:off x="305950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CB6ADE-2D9E-42EA-972F-1676F0F93DEC}"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16</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121" name="ZoneTexte 120">
              <a:extLst>
                <a:ext uri="{FF2B5EF4-FFF2-40B4-BE49-F238E27FC236}">
                  <a16:creationId xmlns:a16="http://schemas.microsoft.com/office/drawing/2014/main" id="{63CC57ED-DB0A-4CF2-ACF5-D38A56BC25AB}"/>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Gal US</a:t>
              </a:r>
            </a:p>
          </xdr:txBody>
        </xdr:sp>
      </xdr:grpSp>
      <xdr:grpSp>
        <xdr:nvGrpSpPr>
          <xdr:cNvPr id="113" name="Groupe 112">
            <a:extLst>
              <a:ext uri="{FF2B5EF4-FFF2-40B4-BE49-F238E27FC236}">
                <a16:creationId xmlns:a16="http://schemas.microsoft.com/office/drawing/2014/main" id="{7C376BA1-ACC1-42D6-9D75-7CA10C86DC2E}"/>
              </a:ext>
            </a:extLst>
          </xdr:cNvPr>
          <xdr:cNvGrpSpPr/>
        </xdr:nvGrpSpPr>
        <xdr:grpSpPr>
          <a:xfrm>
            <a:off x="10320016" y="8467458"/>
            <a:ext cx="1164364" cy="1112412"/>
            <a:chOff x="4331274" y="5496486"/>
            <a:chExt cx="1162707" cy="1112412"/>
          </a:xfrm>
        </xdr:grpSpPr>
        <xdr:sp macro="" textlink="$N$26">
          <xdr:nvSpPr>
            <xdr:cNvPr id="118" name="Ellipse 117">
              <a:extLst>
                <a:ext uri="{FF2B5EF4-FFF2-40B4-BE49-F238E27FC236}">
                  <a16:creationId xmlns:a16="http://schemas.microsoft.com/office/drawing/2014/main" id="{8FBEE4E0-49EC-41F9-8120-4EB895029F26}"/>
                </a:ext>
              </a:extLst>
            </xdr:cNvPr>
            <xdr:cNvSpPr/>
          </xdr:nvSpPr>
          <xdr:spPr>
            <a:xfrm>
              <a:off x="442662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D10775E-BC17-40AB-8612-63E3E870F7BC}"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227</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19" name="ZoneTexte 118">
              <a:extLst>
                <a:ext uri="{FF2B5EF4-FFF2-40B4-BE49-F238E27FC236}">
                  <a16:creationId xmlns:a16="http://schemas.microsoft.com/office/drawing/2014/main" id="{BC04C652-0B7E-45C1-B601-427387EE7BA8}"/>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Gal US en L</a:t>
              </a:r>
            </a:p>
          </xdr:txBody>
        </xdr:sp>
      </xdr:grpSp>
      <xdr:grpSp>
        <xdr:nvGrpSpPr>
          <xdr:cNvPr id="114" name="Groupe 113">
            <a:extLst>
              <a:ext uri="{FF2B5EF4-FFF2-40B4-BE49-F238E27FC236}">
                <a16:creationId xmlns:a16="http://schemas.microsoft.com/office/drawing/2014/main" id="{C1CB0FA5-EC6B-4CC2-863E-D64435D6DEFD}"/>
              </a:ext>
            </a:extLst>
          </xdr:cNvPr>
          <xdr:cNvGrpSpPr/>
        </xdr:nvGrpSpPr>
        <xdr:grpSpPr>
          <a:xfrm>
            <a:off x="7247697" y="7268620"/>
            <a:ext cx="1441174" cy="728869"/>
            <a:chOff x="1308652" y="1358348"/>
            <a:chExt cx="1441174" cy="728869"/>
          </a:xfrm>
        </xdr:grpSpPr>
        <xdr:sp macro="" textlink="Valeur_à_convertir">
          <xdr:nvSpPr>
            <xdr:cNvPr id="116" name="Rectangle 115">
              <a:extLst>
                <a:ext uri="{FF2B5EF4-FFF2-40B4-BE49-F238E27FC236}">
                  <a16:creationId xmlns:a16="http://schemas.microsoft.com/office/drawing/2014/main" id="{1D9361BB-B66D-4D1E-A23B-397069352213}"/>
                </a:ext>
              </a:extLst>
            </xdr:cNvPr>
            <xdr:cNvSpPr/>
          </xdr:nvSpPr>
          <xdr:spPr>
            <a:xfrm>
              <a:off x="1321077" y="1623391"/>
              <a:ext cx="1416325" cy="463826"/>
            </a:xfrm>
            <a:prstGeom prst="rect">
              <a:avLst/>
            </a:prstGeom>
            <a:solidFill>
              <a:schemeClr val="accent5">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117" name="ZoneTexte 116">
              <a:extLst>
                <a:ext uri="{FF2B5EF4-FFF2-40B4-BE49-F238E27FC236}">
                  <a16:creationId xmlns:a16="http://schemas.microsoft.com/office/drawing/2014/main" id="{D1D43D36-8EF1-47AF-BADC-5C84D4036C94}"/>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002060"/>
                  </a:solidFill>
                  <a:latin typeface="Book Antiqua" panose="02040602050305030304" pitchFamily="18" charset="0"/>
                </a:rPr>
                <a:t>Je convertis</a:t>
              </a:r>
            </a:p>
          </xdr:txBody>
        </xdr:sp>
      </xdr:grpSp>
      <xdr:sp macro="" textlink="">
        <xdr:nvSpPr>
          <xdr:cNvPr id="115" name="ZoneTexte 114">
            <a:extLst>
              <a:ext uri="{FF2B5EF4-FFF2-40B4-BE49-F238E27FC236}">
                <a16:creationId xmlns:a16="http://schemas.microsoft.com/office/drawing/2014/main" id="{D43F0E78-93B7-4A70-A518-FFB21DC2C7EA}"/>
              </a:ext>
            </a:extLst>
          </xdr:cNvPr>
          <xdr:cNvSpPr txBox="1"/>
        </xdr:nvSpPr>
        <xdr:spPr>
          <a:xfrm>
            <a:off x="8857835" y="7221823"/>
            <a:ext cx="2821472" cy="1058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rgbClr val="002060"/>
                </a:solidFill>
                <a:latin typeface="Book Antiqua" panose="02040602050305030304" pitchFamily="18" charset="0"/>
              </a:rPr>
              <a:t>1 - Litres en gallons impérial</a:t>
            </a:r>
          </a:p>
          <a:p>
            <a:pPr algn="l"/>
            <a:r>
              <a:rPr lang="fr-FR" sz="1400">
                <a:solidFill>
                  <a:srgbClr val="002060"/>
                </a:solidFill>
                <a:latin typeface="Book Antiqua" panose="02040602050305030304" pitchFamily="18" charset="0"/>
              </a:rPr>
              <a:t>2 - Gallons impérial en litres</a:t>
            </a:r>
          </a:p>
          <a:p>
            <a:pPr algn="l"/>
            <a:r>
              <a:rPr lang="fr-FR" sz="1400">
                <a:solidFill>
                  <a:srgbClr val="002060"/>
                </a:solidFill>
                <a:latin typeface="Book Antiqua" panose="02040602050305030304" pitchFamily="18" charset="0"/>
              </a:rPr>
              <a:t>3 - Litres en gallons US</a:t>
            </a:r>
          </a:p>
          <a:p>
            <a:pPr algn="l"/>
            <a:r>
              <a:rPr lang="fr-FR" sz="1400">
                <a:solidFill>
                  <a:srgbClr val="002060"/>
                </a:solidFill>
                <a:latin typeface="Book Antiqua" panose="02040602050305030304" pitchFamily="18" charset="0"/>
              </a:rPr>
              <a:t>4 - Gallons US en litres</a:t>
            </a:r>
          </a:p>
        </xdr:txBody>
      </xdr:sp>
    </xdr:grpSp>
    <xdr:clientData/>
  </xdr:twoCellAnchor>
  <xdr:twoCellAnchor>
    <xdr:from>
      <xdr:col>7</xdr:col>
      <xdr:colOff>658880</xdr:colOff>
      <xdr:row>13</xdr:row>
      <xdr:rowOff>94067</xdr:rowOff>
    </xdr:from>
    <xdr:to>
      <xdr:col>10</xdr:col>
      <xdr:colOff>1099515</xdr:colOff>
      <xdr:row>21</xdr:row>
      <xdr:rowOff>292849</xdr:rowOff>
    </xdr:to>
    <xdr:grpSp>
      <xdr:nvGrpSpPr>
        <xdr:cNvPr id="127" name="Groupe 126">
          <a:extLst>
            <a:ext uri="{FF2B5EF4-FFF2-40B4-BE49-F238E27FC236}">
              <a16:creationId xmlns:a16="http://schemas.microsoft.com/office/drawing/2014/main" id="{5F59E537-0A88-42D4-A993-E39D4690AF3D}"/>
            </a:ext>
          </a:extLst>
        </xdr:cNvPr>
        <xdr:cNvGrpSpPr/>
      </xdr:nvGrpSpPr>
      <xdr:grpSpPr>
        <a:xfrm>
          <a:off x="5992880" y="4161802"/>
          <a:ext cx="5696194" cy="2708900"/>
          <a:chOff x="6013587" y="7161972"/>
          <a:chExt cx="5700092" cy="2716695"/>
        </a:xfrm>
      </xdr:grpSpPr>
      <xdr:sp macro="" textlink="">
        <xdr:nvSpPr>
          <xdr:cNvPr id="128" name="Rectangle : coins arrondis 127">
            <a:extLst>
              <a:ext uri="{FF2B5EF4-FFF2-40B4-BE49-F238E27FC236}">
                <a16:creationId xmlns:a16="http://schemas.microsoft.com/office/drawing/2014/main" id="{9BAF7185-22F8-4592-9759-156BD3A312C7}"/>
              </a:ext>
            </a:extLst>
          </xdr:cNvPr>
          <xdr:cNvSpPr/>
        </xdr:nvSpPr>
        <xdr:spPr>
          <a:xfrm>
            <a:off x="6013587" y="7161972"/>
            <a:ext cx="5700092" cy="2716695"/>
          </a:xfrm>
          <a:prstGeom prst="roundRect">
            <a:avLst>
              <a:gd name="adj" fmla="val 13618"/>
            </a:avLst>
          </a:prstGeom>
          <a:solidFill>
            <a:schemeClr val="accent5">
              <a:lumMod val="20000"/>
              <a:lumOff val="80000"/>
            </a:schemeClr>
          </a:solidFill>
          <a:ln w="57150">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29" name="Image 128">
            <a:extLst>
              <a:ext uri="{FF2B5EF4-FFF2-40B4-BE49-F238E27FC236}">
                <a16:creationId xmlns:a16="http://schemas.microsoft.com/office/drawing/2014/main" id="{78D1EFA1-2E40-459E-AEE9-1AEFEFB223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19164" y="7272265"/>
            <a:ext cx="1084820" cy="1090009"/>
          </a:xfrm>
          <a:prstGeom prst="rect">
            <a:avLst/>
          </a:prstGeom>
        </xdr:spPr>
      </xdr:pic>
      <xdr:grpSp>
        <xdr:nvGrpSpPr>
          <xdr:cNvPr id="130" name="Groupe 129">
            <a:extLst>
              <a:ext uri="{FF2B5EF4-FFF2-40B4-BE49-F238E27FC236}">
                <a16:creationId xmlns:a16="http://schemas.microsoft.com/office/drawing/2014/main" id="{20FA0320-4F40-43F9-880D-1671B9B2A387}"/>
              </a:ext>
            </a:extLst>
          </xdr:cNvPr>
          <xdr:cNvGrpSpPr/>
        </xdr:nvGrpSpPr>
        <xdr:grpSpPr>
          <a:xfrm>
            <a:off x="6218656" y="8467458"/>
            <a:ext cx="1162707" cy="1112417"/>
            <a:chOff x="229914" y="5496486"/>
            <a:chExt cx="1162707" cy="1112417"/>
          </a:xfrm>
        </xdr:grpSpPr>
        <xdr:sp macro="" textlink="$N$19">
          <xdr:nvSpPr>
            <xdr:cNvPr id="144" name="Ellipse 143">
              <a:extLst>
                <a:ext uri="{FF2B5EF4-FFF2-40B4-BE49-F238E27FC236}">
                  <a16:creationId xmlns:a16="http://schemas.microsoft.com/office/drawing/2014/main" id="{13E4F2C7-86E6-49C2-84ED-2395F7B42DB8}"/>
                </a:ext>
              </a:extLst>
            </xdr:cNvPr>
            <xdr:cNvSpPr/>
          </xdr:nvSpPr>
          <xdr:spPr>
            <a:xfrm>
              <a:off x="32526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EF7195D-51F0-4EC3-994C-F76F6C482A24}"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43</a:t>
              </a:fld>
              <a:endParaRPr lang="fr-FR" sz="7200" b="1">
                <a:solidFill>
                  <a:schemeClr val="bg1"/>
                </a:solidFill>
                <a:effectLst>
                  <a:outerShdw blurRad="50800" dist="38100" dir="2700000" algn="tl" rotWithShape="0">
                    <a:prstClr val="black">
                      <a:alpha val="40000"/>
                    </a:prstClr>
                  </a:outerShdw>
                </a:effectLst>
              </a:endParaRPr>
            </a:p>
          </xdr:txBody>
        </xdr:sp>
        <xdr:sp macro="" textlink="">
          <xdr:nvSpPr>
            <xdr:cNvPr id="145" name="ZoneTexte 144">
              <a:extLst>
                <a:ext uri="{FF2B5EF4-FFF2-40B4-BE49-F238E27FC236}">
                  <a16:creationId xmlns:a16="http://schemas.microsoft.com/office/drawing/2014/main" id="{F7B8D5CA-F7AB-4660-BBBC-88E40EA055B8}"/>
                </a:ext>
              </a:extLst>
            </xdr:cNvPr>
            <xdr:cNvSpPr txBox="1"/>
          </xdr:nvSpPr>
          <xdr:spPr>
            <a:xfrm>
              <a:off x="229914" y="5763836"/>
              <a:ext cx="1162707" cy="845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Kg</a:t>
              </a:r>
            </a:p>
          </xdr:txBody>
        </xdr:sp>
      </xdr:grpSp>
      <xdr:grpSp>
        <xdr:nvGrpSpPr>
          <xdr:cNvPr id="131" name="Groupe 130">
            <a:extLst>
              <a:ext uri="{FF2B5EF4-FFF2-40B4-BE49-F238E27FC236}">
                <a16:creationId xmlns:a16="http://schemas.microsoft.com/office/drawing/2014/main" id="{192A43F9-39EC-452F-8134-51C4A9F65F34}"/>
              </a:ext>
            </a:extLst>
          </xdr:cNvPr>
          <xdr:cNvGrpSpPr/>
        </xdr:nvGrpSpPr>
        <xdr:grpSpPr>
          <a:xfrm>
            <a:off x="7585776" y="8467458"/>
            <a:ext cx="1162707" cy="1112412"/>
            <a:chOff x="1597034" y="5496486"/>
            <a:chExt cx="1162707" cy="1112412"/>
          </a:xfrm>
        </xdr:grpSpPr>
        <xdr:sp macro="" textlink="$N$20">
          <xdr:nvSpPr>
            <xdr:cNvPr id="142" name="Ellipse 141">
              <a:extLst>
                <a:ext uri="{FF2B5EF4-FFF2-40B4-BE49-F238E27FC236}">
                  <a16:creationId xmlns:a16="http://schemas.microsoft.com/office/drawing/2014/main" id="{F3CEF34B-3976-43CC-8B04-6A773371CE97}"/>
                </a:ext>
              </a:extLst>
            </xdr:cNvPr>
            <xdr:cNvSpPr/>
          </xdr:nvSpPr>
          <xdr:spPr>
            <a:xfrm>
              <a:off x="169238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C075E7-4318-494F-93E3-E158B712F4A3}"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95</a:t>
              </a:fld>
              <a:endParaRPr lang="fr-FR" sz="8800" b="1">
                <a:solidFill>
                  <a:schemeClr val="bg1"/>
                </a:solidFill>
                <a:effectLst>
                  <a:outerShdw blurRad="50800" dist="38100" dir="2700000" algn="tl" rotWithShape="0">
                    <a:prstClr val="black">
                      <a:alpha val="40000"/>
                    </a:prstClr>
                  </a:outerShdw>
                </a:effectLst>
              </a:endParaRPr>
            </a:p>
          </xdr:txBody>
        </xdr:sp>
        <xdr:sp macro="" textlink="">
          <xdr:nvSpPr>
            <xdr:cNvPr id="143" name="ZoneTexte 142">
              <a:extLst>
                <a:ext uri="{FF2B5EF4-FFF2-40B4-BE49-F238E27FC236}">
                  <a16:creationId xmlns:a16="http://schemas.microsoft.com/office/drawing/2014/main" id="{41B32746-8E62-4E5D-A145-A4FC439995D2}"/>
                </a:ext>
              </a:extLst>
            </xdr:cNvPr>
            <xdr:cNvSpPr txBox="1"/>
          </xdr:nvSpPr>
          <xdr:spPr>
            <a:xfrm>
              <a:off x="159703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Lb</a:t>
              </a:r>
            </a:p>
          </xdr:txBody>
        </xdr:sp>
      </xdr:grpSp>
      <xdr:grpSp>
        <xdr:nvGrpSpPr>
          <xdr:cNvPr id="132" name="Groupe 131">
            <a:extLst>
              <a:ext uri="{FF2B5EF4-FFF2-40B4-BE49-F238E27FC236}">
                <a16:creationId xmlns:a16="http://schemas.microsoft.com/office/drawing/2014/main" id="{1705231F-CD83-4C10-9770-E6E8B3BF6DA3}"/>
              </a:ext>
            </a:extLst>
          </xdr:cNvPr>
          <xdr:cNvGrpSpPr/>
        </xdr:nvGrpSpPr>
        <xdr:grpSpPr>
          <a:xfrm>
            <a:off x="8952896" y="8467458"/>
            <a:ext cx="1162707" cy="1112412"/>
            <a:chOff x="2964154" y="5496486"/>
            <a:chExt cx="1162707" cy="1112412"/>
          </a:xfrm>
        </xdr:grpSpPr>
        <xdr:sp macro="" textlink="$N$21">
          <xdr:nvSpPr>
            <xdr:cNvPr id="140" name="Ellipse 139">
              <a:extLst>
                <a:ext uri="{FF2B5EF4-FFF2-40B4-BE49-F238E27FC236}">
                  <a16:creationId xmlns:a16="http://schemas.microsoft.com/office/drawing/2014/main" id="{11C3E53A-38D6-4437-B399-946F2CE0BB15}"/>
                </a:ext>
              </a:extLst>
            </xdr:cNvPr>
            <xdr:cNvSpPr/>
          </xdr:nvSpPr>
          <xdr:spPr>
            <a:xfrm>
              <a:off x="305950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AA343A-D471-4D66-B947-F3C4E74AA2BB}"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48</a:t>
              </a:fld>
              <a:endParaRPr lang="fr-FR" sz="6000" b="1">
                <a:solidFill>
                  <a:schemeClr val="bg1"/>
                </a:solidFill>
                <a:effectLst>
                  <a:outerShdw blurRad="50800" dist="38100" dir="2700000" algn="tl" rotWithShape="0">
                    <a:prstClr val="black">
                      <a:alpha val="40000"/>
                    </a:prstClr>
                  </a:outerShdw>
                </a:effectLst>
              </a:endParaRPr>
            </a:p>
          </xdr:txBody>
        </xdr:sp>
        <xdr:sp macro="" textlink="">
          <xdr:nvSpPr>
            <xdr:cNvPr id="141" name="ZoneTexte 140">
              <a:extLst>
                <a:ext uri="{FF2B5EF4-FFF2-40B4-BE49-F238E27FC236}">
                  <a16:creationId xmlns:a16="http://schemas.microsoft.com/office/drawing/2014/main" id="{9AEFB174-A91E-4697-A35B-E066EF8931B1}"/>
                </a:ext>
              </a:extLst>
            </xdr:cNvPr>
            <xdr:cNvSpPr txBox="1"/>
          </xdr:nvSpPr>
          <xdr:spPr>
            <a:xfrm>
              <a:off x="296415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Kg</a:t>
              </a:r>
            </a:p>
          </xdr:txBody>
        </xdr:sp>
      </xdr:grpSp>
      <xdr:grpSp>
        <xdr:nvGrpSpPr>
          <xdr:cNvPr id="133" name="Groupe 132">
            <a:extLst>
              <a:ext uri="{FF2B5EF4-FFF2-40B4-BE49-F238E27FC236}">
                <a16:creationId xmlns:a16="http://schemas.microsoft.com/office/drawing/2014/main" id="{AC3C84EA-BFB2-4D0C-BDBB-31CE4020E1EF}"/>
              </a:ext>
            </a:extLst>
          </xdr:cNvPr>
          <xdr:cNvGrpSpPr/>
        </xdr:nvGrpSpPr>
        <xdr:grpSpPr>
          <a:xfrm>
            <a:off x="10320016" y="8467458"/>
            <a:ext cx="1164364" cy="1112412"/>
            <a:chOff x="4331274" y="5496486"/>
            <a:chExt cx="1162707" cy="1112412"/>
          </a:xfrm>
        </xdr:grpSpPr>
        <xdr:sp macro="" textlink="$N$22">
          <xdr:nvSpPr>
            <xdr:cNvPr id="138" name="Ellipse 137">
              <a:extLst>
                <a:ext uri="{FF2B5EF4-FFF2-40B4-BE49-F238E27FC236}">
                  <a16:creationId xmlns:a16="http://schemas.microsoft.com/office/drawing/2014/main" id="{BE58977C-839D-4789-8B19-91660A436E54}"/>
                </a:ext>
              </a:extLst>
            </xdr:cNvPr>
            <xdr:cNvSpPr/>
          </xdr:nvSpPr>
          <xdr:spPr>
            <a:xfrm>
              <a:off x="4426627" y="5496486"/>
              <a:ext cx="972000" cy="972000"/>
            </a:xfrm>
            <a:prstGeom prst="ellipse">
              <a:avLst/>
            </a:prstGeom>
            <a:solidFill>
              <a:schemeClr val="accent5">
                <a:lumMod val="5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B07968-8599-4872-8981-B106921941E7}"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106</a:t>
              </a:fld>
              <a:endParaRPr lang="fr-FR" sz="7200" b="1">
                <a:solidFill>
                  <a:schemeClr val="bg1"/>
                </a:solidFill>
                <a:effectLst>
                  <a:outerShdw blurRad="50800" dist="38100" dir="2700000" algn="tl" rotWithShape="0">
                    <a:prstClr val="black">
                      <a:alpha val="40000"/>
                    </a:prstClr>
                  </a:outerShdw>
                </a:effectLst>
              </a:endParaRPr>
            </a:p>
          </xdr:txBody>
        </xdr:sp>
        <xdr:sp macro="" textlink="">
          <xdr:nvSpPr>
            <xdr:cNvPr id="139" name="ZoneTexte 138">
              <a:extLst>
                <a:ext uri="{FF2B5EF4-FFF2-40B4-BE49-F238E27FC236}">
                  <a16:creationId xmlns:a16="http://schemas.microsoft.com/office/drawing/2014/main" id="{D2255515-F657-4458-945F-E006FC3BE4D4}"/>
                </a:ext>
              </a:extLst>
            </xdr:cNvPr>
            <xdr:cNvSpPr txBox="1"/>
          </xdr:nvSpPr>
          <xdr:spPr>
            <a:xfrm>
              <a:off x="4331274" y="5763833"/>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rgbClr val="002060"/>
                  </a:solidFill>
                  <a:latin typeface="Book Antiqua" panose="02040602050305030304" pitchFamily="18" charset="0"/>
                </a:rPr>
                <a:t>L en Lb</a:t>
              </a:r>
            </a:p>
          </xdr:txBody>
        </xdr:sp>
      </xdr:grpSp>
      <xdr:grpSp>
        <xdr:nvGrpSpPr>
          <xdr:cNvPr id="134" name="Groupe 133">
            <a:extLst>
              <a:ext uri="{FF2B5EF4-FFF2-40B4-BE49-F238E27FC236}">
                <a16:creationId xmlns:a16="http://schemas.microsoft.com/office/drawing/2014/main" id="{70656AF8-377C-47D6-8CB5-E55A2D39CF0D}"/>
              </a:ext>
            </a:extLst>
          </xdr:cNvPr>
          <xdr:cNvGrpSpPr/>
        </xdr:nvGrpSpPr>
        <xdr:grpSpPr>
          <a:xfrm>
            <a:off x="7247697" y="7268620"/>
            <a:ext cx="1441174" cy="728869"/>
            <a:chOff x="1308652" y="1358348"/>
            <a:chExt cx="1441174" cy="728869"/>
          </a:xfrm>
        </xdr:grpSpPr>
        <xdr:sp macro="" textlink="Valeur_à_convertir">
          <xdr:nvSpPr>
            <xdr:cNvPr id="136" name="Rectangle 135">
              <a:extLst>
                <a:ext uri="{FF2B5EF4-FFF2-40B4-BE49-F238E27FC236}">
                  <a16:creationId xmlns:a16="http://schemas.microsoft.com/office/drawing/2014/main" id="{7D59BE6A-B295-4F23-8A00-E6723D60D348}"/>
                </a:ext>
              </a:extLst>
            </xdr:cNvPr>
            <xdr:cNvSpPr/>
          </xdr:nvSpPr>
          <xdr:spPr>
            <a:xfrm>
              <a:off x="1321077" y="1623391"/>
              <a:ext cx="1416325" cy="463826"/>
            </a:xfrm>
            <a:prstGeom prst="rect">
              <a:avLst/>
            </a:prstGeom>
            <a:solidFill>
              <a:schemeClr val="accent5">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137" name="ZoneTexte 136">
              <a:extLst>
                <a:ext uri="{FF2B5EF4-FFF2-40B4-BE49-F238E27FC236}">
                  <a16:creationId xmlns:a16="http://schemas.microsoft.com/office/drawing/2014/main" id="{46FF7B22-AFDA-4260-B8A4-D95A9E1D9DBE}"/>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rgbClr val="002060"/>
                  </a:solidFill>
                  <a:latin typeface="Book Antiqua" panose="02040602050305030304" pitchFamily="18" charset="0"/>
                </a:rPr>
                <a:t>Je convertis</a:t>
              </a:r>
            </a:p>
          </xdr:txBody>
        </xdr:sp>
      </xdr:grpSp>
      <xdr:sp macro="" textlink="">
        <xdr:nvSpPr>
          <xdr:cNvPr id="135" name="ZoneTexte 134">
            <a:extLst>
              <a:ext uri="{FF2B5EF4-FFF2-40B4-BE49-F238E27FC236}">
                <a16:creationId xmlns:a16="http://schemas.microsoft.com/office/drawing/2014/main" id="{B5CE2B4E-96FC-42FE-AD55-7584F116006C}"/>
              </a:ext>
            </a:extLst>
          </xdr:cNvPr>
          <xdr:cNvSpPr txBox="1"/>
        </xdr:nvSpPr>
        <xdr:spPr>
          <a:xfrm>
            <a:off x="8717446" y="7221823"/>
            <a:ext cx="2961861" cy="1058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a:solidFill>
                  <a:srgbClr val="002060"/>
                </a:solidFill>
                <a:latin typeface="Book Antiqua" panose="02040602050305030304" pitchFamily="18" charset="0"/>
              </a:rPr>
              <a:t>1 - AVGas : Litres en kilogrammes</a:t>
            </a:r>
          </a:p>
          <a:p>
            <a:pPr algn="l"/>
            <a:r>
              <a:rPr lang="fr-FR" sz="1400">
                <a:solidFill>
                  <a:srgbClr val="002060"/>
                </a:solidFill>
                <a:latin typeface="Book Antiqua" panose="02040602050305030304" pitchFamily="18" charset="0"/>
              </a:rPr>
              <a:t>2 - AVGas : Litres en livres</a:t>
            </a:r>
          </a:p>
          <a:p>
            <a:pPr algn="l"/>
            <a:r>
              <a:rPr lang="fr-FR" sz="1400">
                <a:solidFill>
                  <a:srgbClr val="002060"/>
                </a:solidFill>
                <a:latin typeface="Book Antiqua" panose="02040602050305030304" pitchFamily="18" charset="0"/>
              </a:rPr>
              <a:t>3 - Jet A1 :</a:t>
            </a:r>
            <a:r>
              <a:rPr lang="fr-FR" sz="1400" baseline="0">
                <a:solidFill>
                  <a:srgbClr val="002060"/>
                </a:solidFill>
                <a:latin typeface="Book Antiqua" panose="02040602050305030304" pitchFamily="18" charset="0"/>
              </a:rPr>
              <a:t> </a:t>
            </a:r>
            <a:r>
              <a:rPr lang="fr-FR" sz="1400">
                <a:solidFill>
                  <a:srgbClr val="002060"/>
                </a:solidFill>
                <a:latin typeface="Book Antiqua" panose="02040602050305030304" pitchFamily="18" charset="0"/>
              </a:rPr>
              <a:t>Litres en kilogrammes</a:t>
            </a:r>
          </a:p>
          <a:p>
            <a:pPr algn="l"/>
            <a:r>
              <a:rPr lang="fr-FR" sz="1400">
                <a:solidFill>
                  <a:srgbClr val="002060"/>
                </a:solidFill>
                <a:latin typeface="Book Antiqua" panose="02040602050305030304" pitchFamily="18" charset="0"/>
              </a:rPr>
              <a:t>4 - Jet A1 : Litres en livres</a:t>
            </a:r>
          </a:p>
        </xdr:txBody>
      </xdr:sp>
    </xdr:grpSp>
    <xdr:clientData/>
  </xdr:twoCellAnchor>
  <xdr:twoCellAnchor>
    <xdr:from>
      <xdr:col>9</xdr:col>
      <xdr:colOff>21120</xdr:colOff>
      <xdr:row>17</xdr:row>
      <xdr:rowOff>1657</xdr:rowOff>
    </xdr:from>
    <xdr:to>
      <xdr:col>9</xdr:col>
      <xdr:colOff>1176131</xdr:colOff>
      <xdr:row>17</xdr:row>
      <xdr:rowOff>274983</xdr:rowOff>
    </xdr:to>
    <xdr:sp macro="" textlink="">
      <xdr:nvSpPr>
        <xdr:cNvPr id="146" name="ZoneTexte 145">
          <a:extLst>
            <a:ext uri="{FF2B5EF4-FFF2-40B4-BE49-F238E27FC236}">
              <a16:creationId xmlns:a16="http://schemas.microsoft.com/office/drawing/2014/main" id="{C56307C5-5C51-4CC5-A22D-462E4842EE05}"/>
            </a:ext>
          </a:extLst>
        </xdr:cNvPr>
        <xdr:cNvSpPr txBox="1"/>
      </xdr:nvSpPr>
      <xdr:spPr>
        <a:xfrm>
          <a:off x="6879120" y="5352222"/>
          <a:ext cx="1155011"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u="sng">
              <a:solidFill>
                <a:srgbClr val="002060"/>
              </a:solidFill>
              <a:latin typeface="Book Antiqua" panose="02040602050305030304" pitchFamily="18" charset="0"/>
            </a:rPr>
            <a:t>AVGas</a:t>
          </a:r>
        </a:p>
      </xdr:txBody>
    </xdr:sp>
    <xdr:clientData/>
  </xdr:twoCellAnchor>
  <xdr:twoCellAnchor>
    <xdr:from>
      <xdr:col>9</xdr:col>
      <xdr:colOff>2737815</xdr:colOff>
      <xdr:row>17</xdr:row>
      <xdr:rowOff>1657</xdr:rowOff>
    </xdr:from>
    <xdr:to>
      <xdr:col>10</xdr:col>
      <xdr:colOff>157369</xdr:colOff>
      <xdr:row>17</xdr:row>
      <xdr:rowOff>274983</xdr:rowOff>
    </xdr:to>
    <xdr:sp macro="" textlink="">
      <xdr:nvSpPr>
        <xdr:cNvPr id="147" name="ZoneTexte 146">
          <a:extLst>
            <a:ext uri="{FF2B5EF4-FFF2-40B4-BE49-F238E27FC236}">
              <a16:creationId xmlns:a16="http://schemas.microsoft.com/office/drawing/2014/main" id="{FB1A8238-C5EE-48BB-AE28-356A8A539EBB}"/>
            </a:ext>
          </a:extLst>
        </xdr:cNvPr>
        <xdr:cNvSpPr txBox="1"/>
      </xdr:nvSpPr>
      <xdr:spPr>
        <a:xfrm>
          <a:off x="9595815" y="5352222"/>
          <a:ext cx="1155011"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u="sng">
              <a:solidFill>
                <a:srgbClr val="002060"/>
              </a:solidFill>
              <a:latin typeface="Book Antiqua" panose="02040602050305030304" pitchFamily="18" charset="0"/>
            </a:rPr>
            <a:t>Jet A1</a:t>
          </a:r>
        </a:p>
      </xdr:txBody>
    </xdr:sp>
    <xdr:clientData/>
  </xdr:twoCellAnchor>
  <xdr:twoCellAnchor>
    <xdr:from>
      <xdr:col>9</xdr:col>
      <xdr:colOff>2081248</xdr:colOff>
      <xdr:row>3</xdr:row>
      <xdr:rowOff>246112</xdr:rowOff>
    </xdr:from>
    <xdr:to>
      <xdr:col>10</xdr:col>
      <xdr:colOff>1099515</xdr:colOff>
      <xdr:row>12</xdr:row>
      <xdr:rowOff>130154</xdr:rowOff>
    </xdr:to>
    <xdr:grpSp>
      <xdr:nvGrpSpPr>
        <xdr:cNvPr id="78870" name="Groupe 78869">
          <a:extLst>
            <a:ext uri="{FF2B5EF4-FFF2-40B4-BE49-F238E27FC236}">
              <a16:creationId xmlns:a16="http://schemas.microsoft.com/office/drawing/2014/main" id="{BB5BF7B3-10D0-4F06-817D-35E98628CE98}"/>
            </a:ext>
          </a:extLst>
        </xdr:cNvPr>
        <xdr:cNvGrpSpPr/>
      </xdr:nvGrpSpPr>
      <xdr:grpSpPr>
        <a:xfrm>
          <a:off x="8939248" y="1176200"/>
          <a:ext cx="2749826" cy="2707925"/>
          <a:chOff x="5997792" y="1176200"/>
          <a:chExt cx="2749826" cy="2707925"/>
        </a:xfrm>
      </xdr:grpSpPr>
      <xdr:sp macro="" textlink="">
        <xdr:nvSpPr>
          <xdr:cNvPr id="169" name="Rectangle : coins arrondis 168">
            <a:extLst>
              <a:ext uri="{FF2B5EF4-FFF2-40B4-BE49-F238E27FC236}">
                <a16:creationId xmlns:a16="http://schemas.microsoft.com/office/drawing/2014/main" id="{C1DB6272-FAD8-457E-8FD7-80302E4BE475}"/>
              </a:ext>
            </a:extLst>
          </xdr:cNvPr>
          <xdr:cNvSpPr/>
        </xdr:nvSpPr>
        <xdr:spPr>
          <a:xfrm>
            <a:off x="5997792" y="1176200"/>
            <a:ext cx="2749826" cy="2707925"/>
          </a:xfrm>
          <a:prstGeom prst="roundRect">
            <a:avLst>
              <a:gd name="adj" fmla="val 13618"/>
            </a:avLst>
          </a:prstGeom>
          <a:solidFill>
            <a:schemeClr val="bg1">
              <a:lumMod val="85000"/>
            </a:schemeClr>
          </a:solidFill>
          <a:ln w="57150">
            <a:solidFill>
              <a:schemeClr val="tx1">
                <a:lumMod val="85000"/>
                <a:lumOff val="1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30" name="Image 29">
            <a:extLst>
              <a:ext uri="{FF2B5EF4-FFF2-40B4-BE49-F238E27FC236}">
                <a16:creationId xmlns:a16="http://schemas.microsoft.com/office/drawing/2014/main" id="{A1B5AF87-998F-4F97-9F46-7C86E53D0E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06276" y="1268605"/>
            <a:ext cx="1088707" cy="1086112"/>
          </a:xfrm>
          <a:prstGeom prst="rect">
            <a:avLst/>
          </a:prstGeom>
        </xdr:spPr>
      </xdr:pic>
      <xdr:grpSp>
        <xdr:nvGrpSpPr>
          <xdr:cNvPr id="171" name="Groupe 170">
            <a:extLst>
              <a:ext uri="{FF2B5EF4-FFF2-40B4-BE49-F238E27FC236}">
                <a16:creationId xmlns:a16="http://schemas.microsoft.com/office/drawing/2014/main" id="{8D8A6F5F-6C07-44F9-9426-BBDFDE187B85}"/>
              </a:ext>
            </a:extLst>
          </xdr:cNvPr>
          <xdr:cNvGrpSpPr/>
        </xdr:nvGrpSpPr>
        <xdr:grpSpPr>
          <a:xfrm>
            <a:off x="6161445" y="2542448"/>
            <a:ext cx="1162707" cy="1110432"/>
            <a:chOff x="3195088" y="2589288"/>
            <a:chExt cx="1162707" cy="1112417"/>
          </a:xfrm>
        </xdr:grpSpPr>
        <xdr:sp macro="" textlink="$N$17">
          <xdr:nvSpPr>
            <xdr:cNvPr id="178" name="Ellipse 177">
              <a:extLst>
                <a:ext uri="{FF2B5EF4-FFF2-40B4-BE49-F238E27FC236}">
                  <a16:creationId xmlns:a16="http://schemas.microsoft.com/office/drawing/2014/main" id="{206BAB97-4C59-47DB-AA51-B02048E7509B}"/>
                </a:ext>
              </a:extLst>
            </xdr:cNvPr>
            <xdr:cNvSpPr/>
          </xdr:nvSpPr>
          <xdr:spPr>
            <a:xfrm>
              <a:off x="3290441" y="2589288"/>
              <a:ext cx="972000" cy="972000"/>
            </a:xfrm>
            <a:prstGeom prst="ellipse">
              <a:avLst/>
            </a:prstGeom>
            <a:solidFill>
              <a:schemeClr val="bg2">
                <a:lumMod val="25000"/>
              </a:schemeClr>
            </a:solidFill>
            <a:ln>
              <a:solidFill>
                <a:schemeClr val="bg2">
                  <a:lumMod val="2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FC426C-A50C-4C5A-B13F-363EE3A3996D}"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16</a:t>
              </a:fld>
              <a:endParaRPr lang="fr-FR" sz="3200" b="1">
                <a:solidFill>
                  <a:schemeClr val="bg1"/>
                </a:solidFill>
                <a:effectLst>
                  <a:outerShdw blurRad="50800" dist="38100" dir="2700000" algn="tl" rotWithShape="0">
                    <a:prstClr val="black">
                      <a:alpha val="40000"/>
                    </a:prstClr>
                  </a:outerShdw>
                </a:effectLst>
              </a:endParaRPr>
            </a:p>
          </xdr:txBody>
        </xdr:sp>
        <xdr:sp macro="" textlink="">
          <xdr:nvSpPr>
            <xdr:cNvPr id="179" name="ZoneTexte 178">
              <a:extLst>
                <a:ext uri="{FF2B5EF4-FFF2-40B4-BE49-F238E27FC236}">
                  <a16:creationId xmlns:a16="http://schemas.microsoft.com/office/drawing/2014/main" id="{8864CE97-C4B6-4220-AAA6-48FB5BB558BE}"/>
                </a:ext>
              </a:extLst>
            </xdr:cNvPr>
            <xdr:cNvSpPr txBox="1"/>
          </xdr:nvSpPr>
          <xdr:spPr>
            <a:xfrm>
              <a:off x="3195088"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bg2">
                      <a:lumMod val="25000"/>
                    </a:schemeClr>
                  </a:solidFill>
                  <a:latin typeface="Book Antiqua" panose="02040602050305030304" pitchFamily="18" charset="0"/>
                </a:rPr>
                <a:t>° F en ° C</a:t>
              </a:r>
            </a:p>
          </xdr:txBody>
        </xdr:sp>
      </xdr:grpSp>
      <xdr:grpSp>
        <xdr:nvGrpSpPr>
          <xdr:cNvPr id="172" name="Groupe 171">
            <a:extLst>
              <a:ext uri="{FF2B5EF4-FFF2-40B4-BE49-F238E27FC236}">
                <a16:creationId xmlns:a16="http://schemas.microsoft.com/office/drawing/2014/main" id="{7066B41E-533E-4541-A22D-4607142B980E}"/>
              </a:ext>
            </a:extLst>
          </xdr:cNvPr>
          <xdr:cNvGrpSpPr/>
        </xdr:nvGrpSpPr>
        <xdr:grpSpPr>
          <a:xfrm>
            <a:off x="7372166" y="2542448"/>
            <a:ext cx="1162707" cy="1110432"/>
            <a:chOff x="4405809" y="2589288"/>
            <a:chExt cx="1162707" cy="1112417"/>
          </a:xfrm>
        </xdr:grpSpPr>
        <xdr:sp macro="" textlink="$N$18">
          <xdr:nvSpPr>
            <xdr:cNvPr id="176" name="Ellipse 175">
              <a:extLst>
                <a:ext uri="{FF2B5EF4-FFF2-40B4-BE49-F238E27FC236}">
                  <a16:creationId xmlns:a16="http://schemas.microsoft.com/office/drawing/2014/main" id="{EEDFC391-1BB6-434C-AF41-FFBAA93EFBEC}"/>
                </a:ext>
              </a:extLst>
            </xdr:cNvPr>
            <xdr:cNvSpPr/>
          </xdr:nvSpPr>
          <xdr:spPr>
            <a:xfrm>
              <a:off x="4501162" y="2589288"/>
              <a:ext cx="972000" cy="972000"/>
            </a:xfrm>
            <a:prstGeom prst="ellipse">
              <a:avLst/>
            </a:prstGeom>
            <a:solidFill>
              <a:schemeClr val="bg2">
                <a:lumMod val="25000"/>
              </a:schemeClr>
            </a:solidFill>
            <a:ln>
              <a:solidFill>
                <a:schemeClr val="bg2">
                  <a:lumMod val="2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9D7531-7FFA-4151-96E2-874DE74BDEA3}"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140</a:t>
              </a:fld>
              <a:endParaRPr lang="fr-FR" sz="4800" b="1">
                <a:solidFill>
                  <a:schemeClr val="bg1"/>
                </a:solidFill>
                <a:effectLst>
                  <a:outerShdw blurRad="50800" dist="38100" dir="2700000" algn="tl" rotWithShape="0">
                    <a:prstClr val="black">
                      <a:alpha val="40000"/>
                    </a:prstClr>
                  </a:outerShdw>
                </a:effectLst>
              </a:endParaRPr>
            </a:p>
          </xdr:txBody>
        </xdr:sp>
        <xdr:sp macro="" textlink="">
          <xdr:nvSpPr>
            <xdr:cNvPr id="177" name="ZoneTexte 176">
              <a:extLst>
                <a:ext uri="{FF2B5EF4-FFF2-40B4-BE49-F238E27FC236}">
                  <a16:creationId xmlns:a16="http://schemas.microsoft.com/office/drawing/2014/main" id="{4B6CC43F-DC0B-4543-A1DD-AD4C1224A2B0}"/>
                </a:ext>
              </a:extLst>
            </xdr:cNvPr>
            <xdr:cNvSpPr txBox="1"/>
          </xdr:nvSpPr>
          <xdr:spPr>
            <a:xfrm>
              <a:off x="4405809" y="2856640"/>
              <a:ext cx="1162707" cy="845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prstTxWarp prst="textArchDown">
                <a:avLst>
                  <a:gd name="adj" fmla="val 689785"/>
                </a:avLst>
              </a:prstTxWarp>
            </a:bodyPr>
            <a:lstStyle/>
            <a:p>
              <a:pPr algn="ctr"/>
              <a:r>
                <a:rPr lang="fr-FR" sz="1400" u="sng">
                  <a:solidFill>
                    <a:schemeClr val="bg2">
                      <a:lumMod val="25000"/>
                    </a:schemeClr>
                  </a:solidFill>
                  <a:latin typeface="Book Antiqua" panose="02040602050305030304" pitchFamily="18" charset="0"/>
                </a:rPr>
                <a:t>°C en ° F</a:t>
              </a:r>
            </a:p>
          </xdr:txBody>
        </xdr:sp>
      </xdr:grpSp>
      <xdr:grpSp>
        <xdr:nvGrpSpPr>
          <xdr:cNvPr id="173" name="Groupe 172">
            <a:extLst>
              <a:ext uri="{FF2B5EF4-FFF2-40B4-BE49-F238E27FC236}">
                <a16:creationId xmlns:a16="http://schemas.microsoft.com/office/drawing/2014/main" id="{B54C99FF-56FF-4919-A61C-5D778C7CE822}"/>
              </a:ext>
            </a:extLst>
          </xdr:cNvPr>
          <xdr:cNvGrpSpPr/>
        </xdr:nvGrpSpPr>
        <xdr:grpSpPr>
          <a:xfrm>
            <a:off x="7223618" y="1264346"/>
            <a:ext cx="1441174" cy="727488"/>
            <a:chOff x="1308652" y="1358348"/>
            <a:chExt cx="1441174" cy="728869"/>
          </a:xfrm>
        </xdr:grpSpPr>
        <xdr:sp macro="" textlink="Valeur_à_convertir">
          <xdr:nvSpPr>
            <xdr:cNvPr id="174" name="Rectangle 173">
              <a:extLst>
                <a:ext uri="{FF2B5EF4-FFF2-40B4-BE49-F238E27FC236}">
                  <a16:creationId xmlns:a16="http://schemas.microsoft.com/office/drawing/2014/main" id="{8F4FF901-6E5A-4F23-AC8D-F9E2F1D6C784}"/>
                </a:ext>
              </a:extLst>
            </xdr:cNvPr>
            <xdr:cNvSpPr/>
          </xdr:nvSpPr>
          <xdr:spPr>
            <a:xfrm>
              <a:off x="1321077" y="1623391"/>
              <a:ext cx="1416325" cy="463826"/>
            </a:xfrm>
            <a:prstGeom prst="rect">
              <a:avLst/>
            </a:prstGeom>
            <a:solidFill>
              <a:schemeClr val="bg2">
                <a:lumMod val="50000"/>
              </a:schemeClr>
            </a:solidFill>
            <a:scene3d>
              <a:camera prst="orthographicFront"/>
              <a:lightRig rig="threePt" dir="t"/>
            </a:scene3d>
            <a:sp3d>
              <a:bevelT w="1143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739360-F6C7-4F0E-9F37-F8CAFD91E0B0}" type="TxLink">
                <a:rPr lang="en-US" sz="1600" b="1" i="0" u="none" strike="noStrike">
                  <a:solidFill>
                    <a:schemeClr val="bg1"/>
                  </a:solidFill>
                  <a:effectLst>
                    <a:outerShdw blurRad="50800" dist="38100" dir="2700000" algn="tl" rotWithShape="0">
                      <a:prstClr val="black">
                        <a:alpha val="40000"/>
                      </a:prstClr>
                    </a:outerShdw>
                  </a:effectLst>
                  <a:latin typeface="Book Antiqua"/>
                </a:rPr>
                <a:pPr algn="ctr"/>
                <a:t>60</a:t>
              </a:fld>
              <a:endParaRPr lang="fr-FR" sz="1050">
                <a:solidFill>
                  <a:schemeClr val="bg1"/>
                </a:solidFill>
                <a:effectLst>
                  <a:outerShdw blurRad="50800" dist="38100" dir="2700000" algn="tl" rotWithShape="0">
                    <a:prstClr val="black">
                      <a:alpha val="40000"/>
                    </a:prstClr>
                  </a:outerShdw>
                </a:effectLst>
              </a:endParaRPr>
            </a:p>
          </xdr:txBody>
        </xdr:sp>
        <xdr:sp macro="" textlink="">
          <xdr:nvSpPr>
            <xdr:cNvPr id="175" name="ZoneTexte 174">
              <a:extLst>
                <a:ext uri="{FF2B5EF4-FFF2-40B4-BE49-F238E27FC236}">
                  <a16:creationId xmlns:a16="http://schemas.microsoft.com/office/drawing/2014/main" id="{0C65F2E2-7C2F-4472-8AA3-E3CE286D2199}"/>
                </a:ext>
              </a:extLst>
            </xdr:cNvPr>
            <xdr:cNvSpPr txBox="1"/>
          </xdr:nvSpPr>
          <xdr:spPr>
            <a:xfrm>
              <a:off x="1308652" y="1358348"/>
              <a:ext cx="1441174"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a:solidFill>
                    <a:schemeClr val="bg2">
                      <a:lumMod val="25000"/>
                    </a:schemeClr>
                  </a:solidFill>
                  <a:latin typeface="Book Antiqua" panose="02040602050305030304" pitchFamily="18" charset="0"/>
                </a:rPr>
                <a:t>Je convertis</a:t>
              </a:r>
            </a:p>
          </xdr:txBody>
        </xdr:sp>
      </xdr:grpSp>
    </xdr:grpSp>
    <xdr:clientData/>
  </xdr:twoCellAnchor>
  <xdr:twoCellAnchor editAs="oneCell">
    <xdr:from>
      <xdr:col>0</xdr:col>
      <xdr:colOff>683557</xdr:colOff>
      <xdr:row>5</xdr:row>
      <xdr:rowOff>33618</xdr:rowOff>
    </xdr:from>
    <xdr:to>
      <xdr:col>2</xdr:col>
      <xdr:colOff>754634</xdr:colOff>
      <xdr:row>10</xdr:row>
      <xdr:rowOff>191576</xdr:rowOff>
    </xdr:to>
    <xdr:pic>
      <xdr:nvPicPr>
        <xdr:cNvPr id="78872" name="Image 78871">
          <a:extLst>
            <a:ext uri="{FF2B5EF4-FFF2-40B4-BE49-F238E27FC236}">
              <a16:creationId xmlns:a16="http://schemas.microsoft.com/office/drawing/2014/main" id="{27183DDC-1933-4E24-A311-E04626C8A04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3557" y="1591236"/>
          <a:ext cx="1595077" cy="1726781"/>
        </a:xfrm>
        <a:prstGeom prst="rect">
          <a:avLst/>
        </a:prstGeom>
        <a:effectLst>
          <a:outerShdw blurRad="50800" dist="38100" dir="8100000" algn="tr" rotWithShape="0">
            <a:prstClr val="black">
              <a:alpha val="40000"/>
            </a:prstClr>
          </a:outerShdw>
        </a:effectLst>
        <a:scene3d>
          <a:camera prst="orthographicFront"/>
          <a:lightRig rig="threePt" dir="t"/>
        </a:scene3d>
        <a:sp3d>
          <a:bevelT/>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2652210</xdr:colOff>
      <xdr:row>55</xdr:row>
      <xdr:rowOff>0</xdr:rowOff>
    </xdr:to>
    <xdr:grpSp>
      <xdr:nvGrpSpPr>
        <xdr:cNvPr id="63" name="Groupe 62">
          <a:extLst>
            <a:ext uri="{FF2B5EF4-FFF2-40B4-BE49-F238E27FC236}">
              <a16:creationId xmlns:a16="http://schemas.microsoft.com/office/drawing/2014/main" id="{BBB8F8E7-8D17-466B-A3C5-79FE940A3EED}"/>
            </a:ext>
          </a:extLst>
        </xdr:cNvPr>
        <xdr:cNvGrpSpPr/>
      </xdr:nvGrpSpPr>
      <xdr:grpSpPr>
        <a:xfrm>
          <a:off x="0" y="0"/>
          <a:ext cx="2652210" cy="15789088"/>
          <a:chOff x="0" y="0"/>
          <a:chExt cx="2652210" cy="15880773"/>
        </a:xfrm>
      </xdr:grpSpPr>
      <xdr:grpSp>
        <xdr:nvGrpSpPr>
          <xdr:cNvPr id="44" name="Groupe 43">
            <a:extLst>
              <a:ext uri="{FF2B5EF4-FFF2-40B4-BE49-F238E27FC236}">
                <a16:creationId xmlns:a16="http://schemas.microsoft.com/office/drawing/2014/main" id="{342C2AC0-663C-499D-AD41-C27C810FD0D2}"/>
              </a:ext>
            </a:extLst>
          </xdr:cNvPr>
          <xdr:cNvGrpSpPr/>
        </xdr:nvGrpSpPr>
        <xdr:grpSpPr>
          <a:xfrm>
            <a:off x="0" y="0"/>
            <a:ext cx="2652210" cy="15880773"/>
            <a:chOff x="0" y="0"/>
            <a:chExt cx="2652210" cy="15877190"/>
          </a:xfrm>
        </xdr:grpSpPr>
        <xdr:grpSp>
          <xdr:nvGrpSpPr>
            <xdr:cNvPr id="22" name="Groupe 21">
              <a:extLst>
                <a:ext uri="{FF2B5EF4-FFF2-40B4-BE49-F238E27FC236}">
                  <a16:creationId xmlns:a16="http://schemas.microsoft.com/office/drawing/2014/main" id="{898FC836-477E-42C0-9851-352E07732F04}"/>
                </a:ext>
              </a:extLst>
            </xdr:cNvPr>
            <xdr:cNvGrpSpPr/>
          </xdr:nvGrpSpPr>
          <xdr:grpSpPr>
            <a:xfrm>
              <a:off x="0" y="0"/>
              <a:ext cx="2652210" cy="15877190"/>
              <a:chOff x="0" y="0"/>
              <a:chExt cx="2652210" cy="15740063"/>
            </a:xfrm>
          </xdr:grpSpPr>
          <xdr:pic>
            <xdr:nvPicPr>
              <xdr:cNvPr id="45" name="Image 44">
                <a:extLst>
                  <a:ext uri="{FF2B5EF4-FFF2-40B4-BE49-F238E27FC236}">
                    <a16:creationId xmlns:a16="http://schemas.microsoft.com/office/drawing/2014/main" id="{C9C1FADB-76AD-4862-8455-F40CF9BCB503}"/>
                  </a:ext>
                </a:extLst>
              </xdr:cNvPr>
              <xdr:cNvPicPr>
                <a:picLocks noChangeAspect="1"/>
              </xdr:cNvPicPr>
            </xdr:nvPicPr>
            <xdr:blipFill>
              <a:blip xmlns:r="http://schemas.openxmlformats.org/officeDocument/2006/relationships" r:embed="rId1" cstate="print">
                <a:alphaModFix amt="50000"/>
                <a:extLst>
                  <a:ext uri="{28A0092B-C50C-407E-A947-70E740481C1C}">
                    <a14:useLocalDpi xmlns:a14="http://schemas.microsoft.com/office/drawing/2010/main" val="0"/>
                  </a:ext>
                </a:extLst>
              </a:blip>
              <a:stretch>
                <a:fillRect/>
              </a:stretch>
            </xdr:blipFill>
            <xdr:spPr>
              <a:xfrm>
                <a:off x="0" y="0"/>
                <a:ext cx="2643187" cy="15740063"/>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7" name="Groupe 56">
                <a:extLst>
                  <a:ext uri="{FF2B5EF4-FFF2-40B4-BE49-F238E27FC236}">
                    <a16:creationId xmlns:a16="http://schemas.microsoft.com/office/drawing/2014/main" id="{DA3BA3D4-DF4C-4840-B6E9-A8D7BAACE016}"/>
                  </a:ext>
                </a:extLst>
              </xdr:cNvPr>
              <xdr:cNvGrpSpPr/>
            </xdr:nvGrpSpPr>
            <xdr:grpSpPr>
              <a:xfrm>
                <a:off x="8283" y="2949975"/>
                <a:ext cx="2637419" cy="1073362"/>
                <a:chOff x="8283" y="2972387"/>
                <a:chExt cx="2637419" cy="1090171"/>
              </a:xfrm>
            </xdr:grpSpPr>
            <xdr:sp macro="" textlink="">
              <xdr:nvSpPr>
                <xdr:cNvPr id="46" name="Ellipse 45">
                  <a:extLst>
                    <a:ext uri="{FF2B5EF4-FFF2-40B4-BE49-F238E27FC236}">
                      <a16:creationId xmlns:a16="http://schemas.microsoft.com/office/drawing/2014/main" id="{5B508FF0-9B72-4E9B-91A3-7520812D4ED5}"/>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47" name="ZoneTexte 46">
                  <a:extLst>
                    <a:ext uri="{FF2B5EF4-FFF2-40B4-BE49-F238E27FC236}">
                      <a16:creationId xmlns:a16="http://schemas.microsoft.com/office/drawing/2014/main" id="{4BBD4FF8-C7AE-4D8C-BB81-6D58898391A6}"/>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8" name="Groupe 57">
                <a:extLst>
                  <a:ext uri="{FF2B5EF4-FFF2-40B4-BE49-F238E27FC236}">
                    <a16:creationId xmlns:a16="http://schemas.microsoft.com/office/drawing/2014/main" id="{F86BD6C6-C65D-4DBC-9BC8-F9626FE132F9}"/>
                  </a:ext>
                </a:extLst>
              </xdr:cNvPr>
              <xdr:cNvGrpSpPr/>
            </xdr:nvGrpSpPr>
            <xdr:grpSpPr>
              <a:xfrm>
                <a:off x="1775" y="4904976"/>
                <a:ext cx="2650435" cy="1365994"/>
                <a:chOff x="1775" y="4956803"/>
                <a:chExt cx="2650435" cy="1382803"/>
              </a:xfrm>
            </xdr:grpSpPr>
            <xdr:sp macro="" textlink="">
              <xdr:nvSpPr>
                <xdr:cNvPr id="49" name="Ellipse 48">
                  <a:extLst>
                    <a:ext uri="{FF2B5EF4-FFF2-40B4-BE49-F238E27FC236}">
                      <a16:creationId xmlns:a16="http://schemas.microsoft.com/office/drawing/2014/main" id="{6A73AA21-444C-4037-8886-01C8511F54D2}"/>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50" name="ZoneTexte 49">
                  <a:extLst>
                    <a:ext uri="{FF2B5EF4-FFF2-40B4-BE49-F238E27FC236}">
                      <a16:creationId xmlns:a16="http://schemas.microsoft.com/office/drawing/2014/main" id="{BD4AAC85-3394-4347-AF5D-D5A2ABDDB1FC}"/>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9" name="Groupe 58">
                <a:extLst>
                  <a:ext uri="{FF2B5EF4-FFF2-40B4-BE49-F238E27FC236}">
                    <a16:creationId xmlns:a16="http://schemas.microsoft.com/office/drawing/2014/main" id="{C5816D18-D191-4755-93FA-DB1B39F7E34B}"/>
                  </a:ext>
                </a:extLst>
              </xdr:cNvPr>
              <xdr:cNvGrpSpPr/>
            </xdr:nvGrpSpPr>
            <xdr:grpSpPr>
              <a:xfrm>
                <a:off x="1775" y="6654494"/>
                <a:ext cx="2650435" cy="1361792"/>
                <a:chOff x="1775" y="6727332"/>
                <a:chExt cx="2650435" cy="1382803"/>
              </a:xfrm>
            </xdr:grpSpPr>
            <xdr:sp macro="" textlink="">
              <xdr:nvSpPr>
                <xdr:cNvPr id="51" name="Ellipse 50">
                  <a:extLst>
                    <a:ext uri="{FF2B5EF4-FFF2-40B4-BE49-F238E27FC236}">
                      <a16:creationId xmlns:a16="http://schemas.microsoft.com/office/drawing/2014/main" id="{275C617E-EA16-4643-BDBF-006601383A53}"/>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52" name="ZoneTexte 51">
                  <a:extLst>
                    <a:ext uri="{FF2B5EF4-FFF2-40B4-BE49-F238E27FC236}">
                      <a16:creationId xmlns:a16="http://schemas.microsoft.com/office/drawing/2014/main" id="{B33C1D8C-B58C-448E-91FC-B9023F9A7F72}"/>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60" name="Groupe 59">
                <a:extLst>
                  <a:ext uri="{FF2B5EF4-FFF2-40B4-BE49-F238E27FC236}">
                    <a16:creationId xmlns:a16="http://schemas.microsoft.com/office/drawing/2014/main" id="{35273463-F0A7-4A7D-A74E-079A8AB2A13F}"/>
                  </a:ext>
                </a:extLst>
              </xdr:cNvPr>
              <xdr:cNvGrpSpPr/>
            </xdr:nvGrpSpPr>
            <xdr:grpSpPr>
              <a:xfrm>
                <a:off x="1775" y="8354988"/>
                <a:ext cx="2650435" cy="1253934"/>
                <a:chOff x="1775" y="8453039"/>
                <a:chExt cx="2650435" cy="1270743"/>
              </a:xfrm>
            </xdr:grpSpPr>
            <xdr:sp macro="" textlink="">
              <xdr:nvSpPr>
                <xdr:cNvPr id="53" name="Ellipse 52">
                  <a:extLst>
                    <a:ext uri="{FF2B5EF4-FFF2-40B4-BE49-F238E27FC236}">
                      <a16:creationId xmlns:a16="http://schemas.microsoft.com/office/drawing/2014/main" id="{ED94D7C9-300D-44B0-903F-81503969F03D}"/>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54" name="ZoneTexte 53">
                  <a:extLst>
                    <a:ext uri="{FF2B5EF4-FFF2-40B4-BE49-F238E27FC236}">
                      <a16:creationId xmlns:a16="http://schemas.microsoft.com/office/drawing/2014/main" id="{E9C270BF-9B4E-446D-960A-B087A5A64E6C}"/>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61" name="Groupe 60">
                <a:extLst>
                  <a:ext uri="{FF2B5EF4-FFF2-40B4-BE49-F238E27FC236}">
                    <a16:creationId xmlns:a16="http://schemas.microsoft.com/office/drawing/2014/main" id="{8E1688EC-CC2E-4EA0-9DA7-B63BE26FA71E}"/>
                  </a:ext>
                </a:extLst>
              </xdr:cNvPr>
              <xdr:cNvGrpSpPr/>
            </xdr:nvGrpSpPr>
            <xdr:grpSpPr>
              <a:xfrm>
                <a:off x="1775" y="9723905"/>
                <a:ext cx="2650435" cy="2783261"/>
                <a:chOff x="1775" y="9838765"/>
                <a:chExt cx="2650435" cy="2734235"/>
              </a:xfrm>
            </xdr:grpSpPr>
            <xdr:sp macro="" textlink="">
              <xdr:nvSpPr>
                <xdr:cNvPr id="55" name="ZoneTexte 54">
                  <a:extLst>
                    <a:ext uri="{FF2B5EF4-FFF2-40B4-BE49-F238E27FC236}">
                      <a16:creationId xmlns:a16="http://schemas.microsoft.com/office/drawing/2014/main" id="{8C21F86F-0753-498D-8A25-7578D2E3D100}"/>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6" name="Image 55">
                  <a:extLst>
                    <a:ext uri="{FF2B5EF4-FFF2-40B4-BE49-F238E27FC236}">
                      <a16:creationId xmlns:a16="http://schemas.microsoft.com/office/drawing/2014/main" id="{8A1B11A7-6B4E-4768-A8B9-9445E28548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62" name="ZoneTexte 61">
                <a:extLst>
                  <a:ext uri="{FF2B5EF4-FFF2-40B4-BE49-F238E27FC236}">
                    <a16:creationId xmlns:a16="http://schemas.microsoft.com/office/drawing/2014/main" id="{81FB8724-3379-46C2-B177-8F7FFC48409B}"/>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3" name="Image 2">
              <a:extLst>
                <a:ext uri="{FF2B5EF4-FFF2-40B4-BE49-F238E27FC236}">
                  <a16:creationId xmlns:a16="http://schemas.microsoft.com/office/drawing/2014/main" id="{638F6DD1-B065-494B-9286-3BBE86EF69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64" name="Image 63">
            <a:extLst>
              <a:ext uri="{FF2B5EF4-FFF2-40B4-BE49-F238E27FC236}">
                <a16:creationId xmlns:a16="http://schemas.microsoft.com/office/drawing/2014/main" id="{74AED376-3474-426E-86A0-AFC58267CE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clientData/>
  </xdr:twoCellAnchor>
  <xdr:twoCellAnchor>
    <xdr:from>
      <xdr:col>1</xdr:col>
      <xdr:colOff>72771</xdr:colOff>
      <xdr:row>24</xdr:row>
      <xdr:rowOff>194059</xdr:rowOff>
    </xdr:from>
    <xdr:to>
      <xdr:col>11</xdr:col>
      <xdr:colOff>161671</xdr:colOff>
      <xdr:row>55</xdr:row>
      <xdr:rowOff>0</xdr:rowOff>
    </xdr:to>
    <xdr:graphicFrame macro="">
      <xdr:nvGraphicFramePr>
        <xdr:cNvPr id="2" name="Chart 1">
          <a:extLst>
            <a:ext uri="{FF2B5EF4-FFF2-40B4-BE49-F238E27FC236}">
              <a16:creationId xmlns:a16="http://schemas.microsoft.com/office/drawing/2014/main" id="{81E44A3D-EBF6-4FD0-B853-A4BC1852E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1343155</xdr:colOff>
      <xdr:row>26</xdr:row>
      <xdr:rowOff>238578</xdr:rowOff>
    </xdr:from>
    <xdr:to>
      <xdr:col>3</xdr:col>
      <xdr:colOff>436033</xdr:colOff>
      <xdr:row>29</xdr:row>
      <xdr:rowOff>127268</xdr:rowOff>
    </xdr:to>
    <xdr:grpSp>
      <xdr:nvGrpSpPr>
        <xdr:cNvPr id="5" name="Groupe 4">
          <a:extLst>
            <a:ext uri="{FF2B5EF4-FFF2-40B4-BE49-F238E27FC236}">
              <a16:creationId xmlns:a16="http://schemas.microsoft.com/office/drawing/2014/main" id="{24D10841-6ADE-4A7A-AA53-AD2081AE5E33}"/>
            </a:ext>
          </a:extLst>
        </xdr:cNvPr>
        <xdr:cNvGrpSpPr/>
      </xdr:nvGrpSpPr>
      <xdr:grpSpPr>
        <a:xfrm>
          <a:off x="4189449" y="8889519"/>
          <a:ext cx="2084849" cy="829984"/>
          <a:chOff x="1297409" y="9113934"/>
          <a:chExt cx="2085088" cy="823445"/>
        </a:xfrm>
      </xdr:grpSpPr>
      <xdr:sp macro="" textlink="">
        <xdr:nvSpPr>
          <xdr:cNvPr id="6" name="Rectangle 5">
            <a:extLst>
              <a:ext uri="{FF2B5EF4-FFF2-40B4-BE49-F238E27FC236}">
                <a16:creationId xmlns:a16="http://schemas.microsoft.com/office/drawing/2014/main" id="{C86D7648-F328-4EC8-8DE3-ABE54E226E05}"/>
              </a:ext>
            </a:extLst>
          </xdr:cNvPr>
          <xdr:cNvSpPr/>
        </xdr:nvSpPr>
        <xdr:spPr>
          <a:xfrm>
            <a:off x="1390700" y="9113934"/>
            <a:ext cx="1991797" cy="8234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11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7" name="Rectangle 6">
            <a:extLst>
              <a:ext uri="{FF2B5EF4-FFF2-40B4-BE49-F238E27FC236}">
                <a16:creationId xmlns:a16="http://schemas.microsoft.com/office/drawing/2014/main" id="{0675EB1B-3CE2-4D0D-BFC6-45C335BA45F8}"/>
              </a:ext>
            </a:extLst>
          </xdr:cNvPr>
          <xdr:cNvSpPr/>
        </xdr:nvSpPr>
        <xdr:spPr>
          <a:xfrm rot="2749803" flipH="1">
            <a:off x="1299145" y="9202288"/>
            <a:ext cx="111545" cy="115017"/>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8" name="Rectangle 7">
            <a:extLst>
              <a:ext uri="{FF2B5EF4-FFF2-40B4-BE49-F238E27FC236}">
                <a16:creationId xmlns:a16="http://schemas.microsoft.com/office/drawing/2014/main" id="{9B07B4D8-E461-41EB-BCEF-AFA7F7B79A5B}"/>
              </a:ext>
            </a:extLst>
          </xdr:cNvPr>
          <xdr:cNvSpPr/>
        </xdr:nvSpPr>
        <xdr:spPr>
          <a:xfrm rot="2749803" flipH="1">
            <a:off x="1301245" y="9569293"/>
            <a:ext cx="114151" cy="115017"/>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222251</xdr:colOff>
      <xdr:row>14</xdr:row>
      <xdr:rowOff>10583</xdr:rowOff>
    </xdr:from>
    <xdr:to>
      <xdr:col>2</xdr:col>
      <xdr:colOff>709085</xdr:colOff>
      <xdr:row>15</xdr:row>
      <xdr:rowOff>243417</xdr:rowOff>
    </xdr:to>
    <xdr:sp macro="" textlink="$D$22">
      <xdr:nvSpPr>
        <xdr:cNvPr id="9" name="Rectangle : coins arrondis 8">
          <a:extLst>
            <a:ext uri="{FF2B5EF4-FFF2-40B4-BE49-F238E27FC236}">
              <a16:creationId xmlns:a16="http://schemas.microsoft.com/office/drawing/2014/main" id="{4D1BFD21-6230-4F07-9416-986004F387E4}"/>
            </a:ext>
          </a:extLst>
        </xdr:cNvPr>
        <xdr:cNvSpPr/>
      </xdr:nvSpPr>
      <xdr:spPr>
        <a:xfrm>
          <a:off x="222251" y="4942416"/>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algn="ctr"/>
          <a:fld id="{A17A7ED0-83FA-482A-8632-50054D183156}" type="TxLink">
            <a:rPr lang="en-US" sz="1800" b="1" i="0" u="none" strike="noStrike">
              <a:solidFill>
                <a:schemeClr val="bg1"/>
              </a:solidFill>
              <a:effectLst>
                <a:outerShdw blurRad="50800" dist="38100" dir="2700000" algn="tl" rotWithShape="0">
                  <a:prstClr val="black">
                    <a:alpha val="40000"/>
                  </a:prstClr>
                </a:outerShdw>
              </a:effectLst>
              <a:latin typeface="Book Antiqua"/>
            </a:rPr>
            <a:pPr algn="ctr"/>
            <a:t>6 kg</a:t>
          </a:fld>
          <a:endParaRPr lang="fr-FR" sz="3200" b="1">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0</xdr:colOff>
      <xdr:row>14</xdr:row>
      <xdr:rowOff>0</xdr:rowOff>
    </xdr:from>
    <xdr:to>
      <xdr:col>2</xdr:col>
      <xdr:colOff>931334</xdr:colOff>
      <xdr:row>14</xdr:row>
      <xdr:rowOff>264588</xdr:rowOff>
    </xdr:to>
    <xdr:sp macro="" textlink="">
      <xdr:nvSpPr>
        <xdr:cNvPr id="10" name="ZoneTexte 9">
          <a:extLst>
            <a:ext uri="{FF2B5EF4-FFF2-40B4-BE49-F238E27FC236}">
              <a16:creationId xmlns:a16="http://schemas.microsoft.com/office/drawing/2014/main" id="{6A9AC6E6-2394-4E17-9368-6372E2410A45}"/>
            </a:ext>
          </a:extLst>
        </xdr:cNvPr>
        <xdr:cNvSpPr txBox="1"/>
      </xdr:nvSpPr>
      <xdr:spPr>
        <a:xfrm>
          <a:off x="0" y="4931833"/>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editAs="oneCell">
    <xdr:from>
      <xdr:col>7</xdr:col>
      <xdr:colOff>833330</xdr:colOff>
      <xdr:row>19</xdr:row>
      <xdr:rowOff>69146</xdr:rowOff>
    </xdr:from>
    <xdr:to>
      <xdr:col>10</xdr:col>
      <xdr:colOff>394878</xdr:colOff>
      <xdr:row>23</xdr:row>
      <xdr:rowOff>188923</xdr:rowOff>
    </xdr:to>
    <xdr:pic>
      <xdr:nvPicPr>
        <xdr:cNvPr id="11" name="Image 10">
          <a:extLst>
            <a:ext uri="{FF2B5EF4-FFF2-40B4-BE49-F238E27FC236}">
              <a16:creationId xmlns:a16="http://schemas.microsoft.com/office/drawing/2014/main" id="{AACAF7D3-1E5B-4330-A1CD-2EA2BAC240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19785" y="6494191"/>
          <a:ext cx="4237457" cy="1366687"/>
        </a:xfrm>
        <a:prstGeom prst="rect">
          <a:avLst/>
        </a:prstGeom>
      </xdr:spPr>
    </xdr:pic>
    <xdr:clientData/>
  </xdr:twoCellAnchor>
  <xdr:twoCellAnchor>
    <xdr:from>
      <xdr:col>2</xdr:col>
      <xdr:colOff>548583</xdr:colOff>
      <xdr:row>7</xdr:row>
      <xdr:rowOff>225588</xdr:rowOff>
    </xdr:from>
    <xdr:to>
      <xdr:col>2</xdr:col>
      <xdr:colOff>1038440</xdr:colOff>
      <xdr:row>9</xdr:row>
      <xdr:rowOff>86652</xdr:rowOff>
    </xdr:to>
    <xdr:sp macro="" textlink="">
      <xdr:nvSpPr>
        <xdr:cNvPr id="4" name="Ellipse 3">
          <a:extLst>
            <a:ext uri="{FF2B5EF4-FFF2-40B4-BE49-F238E27FC236}">
              <a16:creationId xmlns:a16="http://schemas.microsoft.com/office/drawing/2014/main" id="{B6C639FC-1905-4017-8A17-FB373C9C6F6D}"/>
            </a:ext>
          </a:extLst>
        </xdr:cNvPr>
        <xdr:cNvSpPr/>
      </xdr:nvSpPr>
      <xdr:spPr>
        <a:xfrm>
          <a:off x="2493688" y="2927680"/>
          <a:ext cx="489857" cy="49272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1906</xdr:colOff>
      <xdr:row>7</xdr:row>
      <xdr:rowOff>81643</xdr:rowOff>
    </xdr:from>
    <xdr:to>
      <xdr:col>12</xdr:col>
      <xdr:colOff>491763</xdr:colOff>
      <xdr:row>8</xdr:row>
      <xdr:rowOff>258536</xdr:rowOff>
    </xdr:to>
    <xdr:sp macro="" textlink="">
      <xdr:nvSpPr>
        <xdr:cNvPr id="13" name="Ellipse 12">
          <a:extLst>
            <a:ext uri="{FF2B5EF4-FFF2-40B4-BE49-F238E27FC236}">
              <a16:creationId xmlns:a16="http://schemas.microsoft.com/office/drawing/2014/main" id="{0E6CC545-3A50-4170-A214-6042E2269A3D}"/>
            </a:ext>
          </a:extLst>
        </xdr:cNvPr>
        <xdr:cNvSpPr/>
      </xdr:nvSpPr>
      <xdr:spPr>
        <a:xfrm>
          <a:off x="12605386" y="2786743"/>
          <a:ext cx="489857" cy="49312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4299</xdr:colOff>
      <xdr:row>16</xdr:row>
      <xdr:rowOff>69467</xdr:rowOff>
    </xdr:from>
    <xdr:to>
      <xdr:col>7</xdr:col>
      <xdr:colOff>494156</xdr:colOff>
      <xdr:row>17</xdr:row>
      <xdr:rowOff>246360</xdr:rowOff>
    </xdr:to>
    <xdr:sp macro="" textlink="">
      <xdr:nvSpPr>
        <xdr:cNvPr id="14" name="Ellipse 13">
          <a:extLst>
            <a:ext uri="{FF2B5EF4-FFF2-40B4-BE49-F238E27FC236}">
              <a16:creationId xmlns:a16="http://schemas.microsoft.com/office/drawing/2014/main" id="{6CB836DD-500C-4B7B-A706-145E1D2071FE}"/>
            </a:ext>
          </a:extLst>
        </xdr:cNvPr>
        <xdr:cNvSpPr/>
      </xdr:nvSpPr>
      <xdr:spPr>
        <a:xfrm>
          <a:off x="6521404" y="5614020"/>
          <a:ext cx="489857" cy="49272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1906</xdr:colOff>
      <xdr:row>17</xdr:row>
      <xdr:rowOff>206828</xdr:rowOff>
    </xdr:from>
    <xdr:to>
      <xdr:col>12</xdr:col>
      <xdr:colOff>491763</xdr:colOff>
      <xdr:row>19</xdr:row>
      <xdr:rowOff>70756</xdr:rowOff>
    </xdr:to>
    <xdr:sp macro="" textlink="">
      <xdr:nvSpPr>
        <xdr:cNvPr id="15" name="Ellipse 14">
          <a:extLst>
            <a:ext uri="{FF2B5EF4-FFF2-40B4-BE49-F238E27FC236}">
              <a16:creationId xmlns:a16="http://schemas.microsoft.com/office/drawing/2014/main" id="{B64FC36C-57C9-46D8-8FD4-55B6C14DB1B7}"/>
            </a:ext>
          </a:extLst>
        </xdr:cNvPr>
        <xdr:cNvSpPr/>
      </xdr:nvSpPr>
      <xdr:spPr>
        <a:xfrm>
          <a:off x="12605386" y="6074228"/>
          <a:ext cx="489857" cy="496388"/>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54428</xdr:rowOff>
    </xdr:from>
    <xdr:to>
      <xdr:col>2</xdr:col>
      <xdr:colOff>731715</xdr:colOff>
      <xdr:row>0</xdr:row>
      <xdr:rowOff>571499</xdr:rowOff>
    </xdr:to>
    <xdr:grpSp>
      <xdr:nvGrpSpPr>
        <xdr:cNvPr id="16" name="Groupe 15">
          <a:extLst>
            <a:ext uri="{FF2B5EF4-FFF2-40B4-BE49-F238E27FC236}">
              <a16:creationId xmlns:a16="http://schemas.microsoft.com/office/drawing/2014/main" id="{EE46A23E-4100-49E4-91F2-00DCE05E7225}"/>
            </a:ext>
          </a:extLst>
        </xdr:cNvPr>
        <xdr:cNvGrpSpPr/>
      </xdr:nvGrpSpPr>
      <xdr:grpSpPr>
        <a:xfrm>
          <a:off x="2846294" y="54428"/>
          <a:ext cx="2670333" cy="517071"/>
          <a:chOff x="1156608" y="20411"/>
          <a:chExt cx="2677536" cy="517071"/>
        </a:xfrm>
      </xdr:grpSpPr>
      <xdr:sp macro="" textlink="">
        <xdr:nvSpPr>
          <xdr:cNvPr id="17" name="Ellipse 16">
            <a:extLst>
              <a:ext uri="{FF2B5EF4-FFF2-40B4-BE49-F238E27FC236}">
                <a16:creationId xmlns:a16="http://schemas.microsoft.com/office/drawing/2014/main" id="{7D9C360D-8AD0-487F-9C07-803F0DC40764}"/>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8" name="Ellipse 17">
            <a:extLst>
              <a:ext uri="{FF2B5EF4-FFF2-40B4-BE49-F238E27FC236}">
                <a16:creationId xmlns:a16="http://schemas.microsoft.com/office/drawing/2014/main" id="{3A42B415-A7A4-4294-821C-7BFE2CB6BC34}"/>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9" name="ZoneTexte 18">
            <a:extLst>
              <a:ext uri="{FF2B5EF4-FFF2-40B4-BE49-F238E27FC236}">
                <a16:creationId xmlns:a16="http://schemas.microsoft.com/office/drawing/2014/main" id="{D8E6545E-91D3-41E9-AD8F-155894CAC9F0}"/>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20" name="ZoneTexte 19">
            <a:extLst>
              <a:ext uri="{FF2B5EF4-FFF2-40B4-BE49-F238E27FC236}">
                <a16:creationId xmlns:a16="http://schemas.microsoft.com/office/drawing/2014/main" id="{20CB2CD4-34C1-408E-B841-2F2E51C67884}"/>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editAs="absolute">
    <xdr:from>
      <xdr:col>12</xdr:col>
      <xdr:colOff>41413</xdr:colOff>
      <xdr:row>27</xdr:row>
      <xdr:rowOff>214059</xdr:rowOff>
    </xdr:from>
    <xdr:to>
      <xdr:col>17</xdr:col>
      <xdr:colOff>56454</xdr:colOff>
      <xdr:row>46</xdr:row>
      <xdr:rowOff>2963</xdr:rowOff>
    </xdr:to>
    <xdr:grpSp>
      <xdr:nvGrpSpPr>
        <xdr:cNvPr id="12" name="Groupe 11">
          <a:extLst>
            <a:ext uri="{FF2B5EF4-FFF2-40B4-BE49-F238E27FC236}">
              <a16:creationId xmlns:a16="http://schemas.microsoft.com/office/drawing/2014/main" id="{625251F4-FEAF-4A7C-9011-EE7668296F21}"/>
            </a:ext>
          </a:extLst>
        </xdr:cNvPr>
        <xdr:cNvGrpSpPr/>
      </xdr:nvGrpSpPr>
      <xdr:grpSpPr>
        <a:xfrm>
          <a:off x="15527942" y="9178765"/>
          <a:ext cx="4923218" cy="4472963"/>
          <a:chOff x="17630055" y="7040496"/>
          <a:chExt cx="5305619" cy="4967407"/>
        </a:xfrm>
      </xdr:grpSpPr>
      <xdr:sp macro="" textlink="">
        <xdr:nvSpPr>
          <xdr:cNvPr id="24" name="Rectangle : coins arrondis 23">
            <a:extLst>
              <a:ext uri="{FF2B5EF4-FFF2-40B4-BE49-F238E27FC236}">
                <a16:creationId xmlns:a16="http://schemas.microsoft.com/office/drawing/2014/main" id="{F121A45F-426E-4232-B5D0-2B1EB2C12DAC}"/>
              </a:ext>
            </a:extLst>
          </xdr:cNvPr>
          <xdr:cNvSpPr/>
        </xdr:nvSpPr>
        <xdr:spPr>
          <a:xfrm>
            <a:off x="17630055" y="7040496"/>
            <a:ext cx="4806203" cy="4967407"/>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25" name="Groupe 24">
            <a:extLst>
              <a:ext uri="{FF2B5EF4-FFF2-40B4-BE49-F238E27FC236}">
                <a16:creationId xmlns:a16="http://schemas.microsoft.com/office/drawing/2014/main" id="{332BF99C-71A2-4035-A966-D0F7FD1A137F}"/>
              </a:ext>
            </a:extLst>
          </xdr:cNvPr>
          <xdr:cNvGrpSpPr/>
        </xdr:nvGrpSpPr>
        <xdr:grpSpPr>
          <a:xfrm>
            <a:off x="17714589" y="7227464"/>
            <a:ext cx="5221085" cy="4420986"/>
            <a:chOff x="18126221" y="9535089"/>
            <a:chExt cx="5234475" cy="4477981"/>
          </a:xfrm>
        </xdr:grpSpPr>
        <xdr:graphicFrame macro="">
          <xdr:nvGraphicFramePr>
            <xdr:cNvPr id="26" name="Graphique 25">
              <a:extLst>
                <a:ext uri="{FF2B5EF4-FFF2-40B4-BE49-F238E27FC236}">
                  <a16:creationId xmlns:a16="http://schemas.microsoft.com/office/drawing/2014/main" id="{DDAA378E-583A-46B6-9432-730566229E97}"/>
                </a:ext>
              </a:extLst>
            </xdr:cNvPr>
            <xdr:cNvGraphicFramePr/>
          </xdr:nvGraphicFramePr>
          <xdr:xfrm>
            <a:off x="18870879" y="9535089"/>
            <a:ext cx="2783259" cy="4201228"/>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27" name="Graphique 26">
              <a:extLst>
                <a:ext uri="{FF2B5EF4-FFF2-40B4-BE49-F238E27FC236}">
                  <a16:creationId xmlns:a16="http://schemas.microsoft.com/office/drawing/2014/main" id="{32DDD4DE-F599-4215-BB6B-F7008D0B68DB}"/>
                </a:ext>
              </a:extLst>
            </xdr:cNvPr>
            <xdr:cNvGraphicFramePr/>
          </xdr:nvGraphicFramePr>
          <xdr:xfrm>
            <a:off x="20577851" y="9535089"/>
            <a:ext cx="2782845" cy="4202203"/>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28" name="Groupe 27">
              <a:extLst>
                <a:ext uri="{FF2B5EF4-FFF2-40B4-BE49-F238E27FC236}">
                  <a16:creationId xmlns:a16="http://schemas.microsoft.com/office/drawing/2014/main" id="{42C9A843-DABC-4D66-967F-A39D8FC3CE05}"/>
                </a:ext>
              </a:extLst>
            </xdr:cNvPr>
            <xdr:cNvGrpSpPr/>
          </xdr:nvGrpSpPr>
          <xdr:grpSpPr>
            <a:xfrm>
              <a:off x="19772054" y="13230298"/>
              <a:ext cx="2575890" cy="777055"/>
              <a:chOff x="20540874" y="13124387"/>
              <a:chExt cx="2592456" cy="779498"/>
            </a:xfrm>
          </xdr:grpSpPr>
          <xdr:sp macro="" textlink="$J$16">
            <xdr:nvSpPr>
              <xdr:cNvPr id="42" name="Rectangle : coins arrondis 41">
                <a:extLst>
                  <a:ext uri="{FF2B5EF4-FFF2-40B4-BE49-F238E27FC236}">
                    <a16:creationId xmlns:a16="http://schemas.microsoft.com/office/drawing/2014/main" id="{6E19D9E0-2E99-4648-B9E1-7AC86A1B82C1}"/>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4FF65F-AD2F-4BE7-B2D0-2416864585C4}" type="TxLink">
                  <a:rPr lang="en-US" sz="1600" b="1" i="0" u="none" strike="noStrike">
                    <a:solidFill>
                      <a:schemeClr val="bg1"/>
                    </a:solidFill>
                    <a:latin typeface="Book Antiqua"/>
                  </a:rPr>
                  <a:pPr algn="ctr"/>
                  <a:t>2 h et 30 mn</a:t>
                </a:fld>
                <a:endParaRPr lang="fr-FR" sz="1600">
                  <a:solidFill>
                    <a:schemeClr val="bg1"/>
                  </a:solidFill>
                </a:endParaRPr>
              </a:p>
            </xdr:txBody>
          </xdr:sp>
          <xdr:sp macro="" textlink="">
            <xdr:nvSpPr>
              <xdr:cNvPr id="43" name="Rectangle 42">
                <a:extLst>
                  <a:ext uri="{FF2B5EF4-FFF2-40B4-BE49-F238E27FC236}">
                    <a16:creationId xmlns:a16="http://schemas.microsoft.com/office/drawing/2014/main" id="{5501E31F-49D2-4EF9-84EC-5B7733D9C20E}"/>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29" name="Groupe 28">
              <a:extLst>
                <a:ext uri="{FF2B5EF4-FFF2-40B4-BE49-F238E27FC236}">
                  <a16:creationId xmlns:a16="http://schemas.microsoft.com/office/drawing/2014/main" id="{5A044ED2-4F74-4FC8-BE8A-E41FC6431765}"/>
                </a:ext>
              </a:extLst>
            </xdr:cNvPr>
            <xdr:cNvGrpSpPr/>
          </xdr:nvGrpSpPr>
          <xdr:grpSpPr>
            <a:xfrm>
              <a:off x="18126221" y="10164186"/>
              <a:ext cx="1437373" cy="3848884"/>
              <a:chOff x="21115755" y="9612661"/>
              <a:chExt cx="1446142" cy="3861552"/>
            </a:xfrm>
          </xdr:grpSpPr>
          <xdr:grpSp>
            <xdr:nvGrpSpPr>
              <xdr:cNvPr id="30" name="Groupe 29">
                <a:extLst>
                  <a:ext uri="{FF2B5EF4-FFF2-40B4-BE49-F238E27FC236}">
                    <a16:creationId xmlns:a16="http://schemas.microsoft.com/office/drawing/2014/main" id="{7C76121B-8A5E-4CFC-B447-8F239CA5A7D8}"/>
                  </a:ext>
                </a:extLst>
              </xdr:cNvPr>
              <xdr:cNvGrpSpPr/>
            </xdr:nvGrpSpPr>
            <xdr:grpSpPr>
              <a:xfrm rot="5400000">
                <a:off x="21292935" y="9461362"/>
                <a:ext cx="1063620" cy="1366218"/>
                <a:chOff x="21097375" y="9615841"/>
                <a:chExt cx="1408044" cy="1134646"/>
              </a:xfrm>
            </xdr:grpSpPr>
            <xdr:sp macro="" textlink="Capacité_carburant_Max_01">
              <xdr:nvSpPr>
                <xdr:cNvPr id="40" name="Flèche : pentagone 39">
                  <a:extLst>
                    <a:ext uri="{FF2B5EF4-FFF2-40B4-BE49-F238E27FC236}">
                      <a16:creationId xmlns:a16="http://schemas.microsoft.com/office/drawing/2014/main" id="{53876776-E663-4A99-9184-77F1EC55CFA6}"/>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6FDD4A51-7215-4F08-B47A-EA5EA0D6E98F}" type="TxLink">
                    <a:rPr lang="en-US" sz="1400" b="1" i="0" u="none" strike="noStrike">
                      <a:solidFill>
                        <a:srgbClr val="000000"/>
                      </a:solidFill>
                      <a:effectLst/>
                      <a:latin typeface="Book Antiqua"/>
                    </a:rPr>
                    <a:pPr algn="ctr"/>
                    <a:t>50 L</a:t>
                  </a:fld>
                  <a:endParaRPr lang="fr-FR" sz="1400" b="1">
                    <a:solidFill>
                      <a:srgbClr val="002060"/>
                    </a:solidFill>
                    <a:effectLst/>
                  </a:endParaRPr>
                </a:p>
              </xdr:txBody>
            </xdr:sp>
            <xdr:sp macro="" textlink="">
              <xdr:nvSpPr>
                <xdr:cNvPr id="41" name="ZoneTexte 40">
                  <a:extLst>
                    <a:ext uri="{FF2B5EF4-FFF2-40B4-BE49-F238E27FC236}">
                      <a16:creationId xmlns:a16="http://schemas.microsoft.com/office/drawing/2014/main" id="{685B04D1-4C59-4347-AFC4-322B6C29F74D}"/>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31" name="Groupe 30">
                <a:extLst>
                  <a:ext uri="{FF2B5EF4-FFF2-40B4-BE49-F238E27FC236}">
                    <a16:creationId xmlns:a16="http://schemas.microsoft.com/office/drawing/2014/main" id="{2A73455E-3338-48E9-A56F-22885B807BC4}"/>
                  </a:ext>
                </a:extLst>
              </xdr:cNvPr>
              <xdr:cNvGrpSpPr/>
            </xdr:nvGrpSpPr>
            <xdr:grpSpPr>
              <a:xfrm rot="5400000">
                <a:off x="21137289" y="10185154"/>
                <a:ext cx="1408044" cy="1441173"/>
                <a:chOff x="21128934" y="10031614"/>
                <a:chExt cx="1408044" cy="715464"/>
              </a:xfrm>
            </xdr:grpSpPr>
            <xdr:sp macro="" textlink="Carburant_utilisable_01">
              <xdr:nvSpPr>
                <xdr:cNvPr id="38" name="Flèche : chevron 37">
                  <a:extLst>
                    <a:ext uri="{FF2B5EF4-FFF2-40B4-BE49-F238E27FC236}">
                      <a16:creationId xmlns:a16="http://schemas.microsoft.com/office/drawing/2014/main" id="{242917BB-022A-4CE8-A20C-CFABE86C9D05}"/>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2CEEAFED-7FF4-4EC0-8D94-834AA4B9B5A2}" type="TxLink">
                    <a:rPr lang="en-US" sz="1400" b="1" i="0" u="none" strike="noStrike">
                      <a:solidFill>
                        <a:srgbClr val="000000"/>
                      </a:solidFill>
                      <a:effectLst/>
                      <a:latin typeface="Book Antiqua"/>
                    </a:rPr>
                    <a:pPr algn="ctr"/>
                    <a:t>50 L</a:t>
                  </a:fld>
                  <a:endParaRPr lang="fr-FR" sz="1400" b="1">
                    <a:solidFill>
                      <a:schemeClr val="accent6">
                        <a:lumMod val="50000"/>
                      </a:schemeClr>
                    </a:solidFill>
                    <a:effectLst/>
                  </a:endParaRPr>
                </a:p>
              </xdr:txBody>
            </xdr:sp>
            <xdr:sp macro="" textlink="">
              <xdr:nvSpPr>
                <xdr:cNvPr id="39" name="ZoneTexte 38">
                  <a:extLst>
                    <a:ext uri="{FF2B5EF4-FFF2-40B4-BE49-F238E27FC236}">
                      <a16:creationId xmlns:a16="http://schemas.microsoft.com/office/drawing/2014/main" id="{FB04746B-7F2E-4A99-95B7-8E0A7EF1A3E9}"/>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32" name="Groupe 31">
                <a:extLst>
                  <a:ext uri="{FF2B5EF4-FFF2-40B4-BE49-F238E27FC236}">
                    <a16:creationId xmlns:a16="http://schemas.microsoft.com/office/drawing/2014/main" id="{97BA50FD-0DF7-4C44-B85B-D07434B46AA1}"/>
                  </a:ext>
                </a:extLst>
              </xdr:cNvPr>
              <xdr:cNvGrpSpPr/>
            </xdr:nvGrpSpPr>
            <xdr:grpSpPr>
              <a:xfrm rot="5400000">
                <a:off x="21137289" y="11118637"/>
                <a:ext cx="1408044" cy="1441173"/>
                <a:chOff x="21128934" y="10031614"/>
                <a:chExt cx="1408044" cy="715464"/>
              </a:xfrm>
            </xdr:grpSpPr>
            <xdr:sp macro="" textlink="$U$21">
              <xdr:nvSpPr>
                <xdr:cNvPr id="36" name="Flèche : chevron 35">
                  <a:extLst>
                    <a:ext uri="{FF2B5EF4-FFF2-40B4-BE49-F238E27FC236}">
                      <a16:creationId xmlns:a16="http://schemas.microsoft.com/office/drawing/2014/main" id="{154DABD3-AFC6-4EF7-A00C-901DFADFC3CA}"/>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4FB4A920-0899-43F4-9B87-6355B3FD5C31}" type="TxLink">
                    <a:rPr lang="en-US" sz="1400" b="1" i="0" u="none" strike="noStrike">
                      <a:solidFill>
                        <a:srgbClr val="C00000"/>
                      </a:solidFill>
                      <a:effectLst/>
                      <a:latin typeface="Book Antiqua"/>
                    </a:rPr>
                    <a:pPr algn="ctr"/>
                    <a:t>0 L</a:t>
                  </a:fld>
                  <a:endParaRPr lang="fr-FR" sz="1400" b="1">
                    <a:solidFill>
                      <a:srgbClr val="C00000"/>
                    </a:solidFill>
                    <a:effectLst/>
                  </a:endParaRPr>
                </a:p>
              </xdr:txBody>
            </xdr:sp>
            <xdr:sp macro="" textlink="">
              <xdr:nvSpPr>
                <xdr:cNvPr id="37" name="ZoneTexte 36">
                  <a:extLst>
                    <a:ext uri="{FF2B5EF4-FFF2-40B4-BE49-F238E27FC236}">
                      <a16:creationId xmlns:a16="http://schemas.microsoft.com/office/drawing/2014/main" id="{71370C67-E55B-4D4C-AB5D-8E9739E95DD0}"/>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33" name="Groupe 32">
                <a:extLst>
                  <a:ext uri="{FF2B5EF4-FFF2-40B4-BE49-F238E27FC236}">
                    <a16:creationId xmlns:a16="http://schemas.microsoft.com/office/drawing/2014/main" id="{D8AD8C20-4B98-48E3-93F8-C2938A75D363}"/>
                  </a:ext>
                </a:extLst>
              </xdr:cNvPr>
              <xdr:cNvGrpSpPr/>
            </xdr:nvGrpSpPr>
            <xdr:grpSpPr>
              <a:xfrm rot="5400000">
                <a:off x="21132320" y="12049604"/>
                <a:ext cx="1408044" cy="1441173"/>
                <a:chOff x="21128935" y="10031614"/>
                <a:chExt cx="1408044" cy="715464"/>
              </a:xfrm>
            </xdr:grpSpPr>
            <xdr:sp macro="" textlink="Carburant_Bloc_01">
              <xdr:nvSpPr>
                <xdr:cNvPr id="34" name="Flèche : chevron 42">
                  <a:extLst>
                    <a:ext uri="{FF2B5EF4-FFF2-40B4-BE49-F238E27FC236}">
                      <a16:creationId xmlns:a16="http://schemas.microsoft.com/office/drawing/2014/main" id="{927AE9D2-D5BB-40FA-8549-DF543FE7C0E2}"/>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7589B9FD-FE8C-47C0-8C86-3BF7045C3935}" type="TxLink">
                    <a:rPr lang="en-US" sz="1400" b="1" i="0" u="none" strike="noStrike">
                      <a:solidFill>
                        <a:srgbClr val="FFFFFF"/>
                      </a:solidFill>
                      <a:effectLst/>
                      <a:latin typeface="Book Antiqua"/>
                    </a:rPr>
                    <a:pPr algn="ctr"/>
                    <a:t>36,7 L</a:t>
                  </a:fld>
                  <a:endParaRPr lang="fr-FR" sz="1400" b="1">
                    <a:solidFill>
                      <a:srgbClr val="C00000"/>
                    </a:solidFill>
                    <a:effectLst/>
                  </a:endParaRPr>
                </a:p>
              </xdr:txBody>
            </xdr:sp>
            <xdr:sp macro="" textlink="">
              <xdr:nvSpPr>
                <xdr:cNvPr id="35" name="ZoneTexte 34">
                  <a:extLst>
                    <a:ext uri="{FF2B5EF4-FFF2-40B4-BE49-F238E27FC236}">
                      <a16:creationId xmlns:a16="http://schemas.microsoft.com/office/drawing/2014/main" id="{7C72D307-F04D-4D02-8324-D65FE70F917E}"/>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grpSp>
      <xdr:sp macro="" textlink="">
        <xdr:nvSpPr>
          <xdr:cNvPr id="23" name="Rectangle : coins arrondis 22">
            <a:extLst>
              <a:ext uri="{FF2B5EF4-FFF2-40B4-BE49-F238E27FC236}">
                <a16:creationId xmlns:a16="http://schemas.microsoft.com/office/drawing/2014/main" id="{42954412-1861-4D63-9BC6-D352E44A584A}"/>
              </a:ext>
            </a:extLst>
          </xdr:cNvPr>
          <xdr:cNvSpPr/>
        </xdr:nvSpPr>
        <xdr:spPr>
          <a:xfrm>
            <a:off x="18324823" y="7128244"/>
            <a:ext cx="3433001" cy="5077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grpSp>
    <xdr:clientData/>
  </xdr:twoCellAnchor>
  <xdr:twoCellAnchor>
    <xdr:from>
      <xdr:col>9</xdr:col>
      <xdr:colOff>30275</xdr:colOff>
      <xdr:row>13</xdr:row>
      <xdr:rowOff>35208</xdr:rowOff>
    </xdr:from>
    <xdr:to>
      <xdr:col>11</xdr:col>
      <xdr:colOff>5443</xdr:colOff>
      <xdr:row>14</xdr:row>
      <xdr:rowOff>285241</xdr:rowOff>
    </xdr:to>
    <xdr:sp macro="" textlink="">
      <xdr:nvSpPr>
        <xdr:cNvPr id="21" name="Bulle narrative : rectangle 20">
          <a:extLst>
            <a:ext uri="{FF2B5EF4-FFF2-40B4-BE49-F238E27FC236}">
              <a16:creationId xmlns:a16="http://schemas.microsoft.com/office/drawing/2014/main" id="{16CB7FD4-F9F7-4AC2-9999-08A924CD5FC4}"/>
            </a:ext>
          </a:extLst>
        </xdr:cNvPr>
        <xdr:cNvSpPr/>
      </xdr:nvSpPr>
      <xdr:spPr>
        <a:xfrm>
          <a:off x="13016932" y="4634422"/>
          <a:ext cx="2076111" cy="565719"/>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0</xdr:col>
      <xdr:colOff>42478</xdr:colOff>
      <xdr:row>4</xdr:row>
      <xdr:rowOff>302905</xdr:rowOff>
    </xdr:from>
    <xdr:to>
      <xdr:col>0</xdr:col>
      <xdr:colOff>2611506</xdr:colOff>
      <xdr:row>7</xdr:row>
      <xdr:rowOff>67234</xdr:rowOff>
    </xdr:to>
    <xdr:sp macro="" textlink="">
      <xdr:nvSpPr>
        <xdr:cNvPr id="48" name="ZoneTexte 47">
          <a:extLst>
            <a:ext uri="{FF2B5EF4-FFF2-40B4-BE49-F238E27FC236}">
              <a16:creationId xmlns:a16="http://schemas.microsoft.com/office/drawing/2014/main" id="{B2B12AE6-C222-43F5-B2D2-3B7E6AADADD6}"/>
            </a:ext>
          </a:extLst>
        </xdr:cNvPr>
        <xdr:cNvSpPr txBox="1"/>
      </xdr:nvSpPr>
      <xdr:spPr>
        <a:xfrm>
          <a:off x="42478" y="1871729"/>
          <a:ext cx="2569028" cy="884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0.09898</cdr:x>
      <cdr:y>0.00507</cdr:y>
    </cdr:from>
    <cdr:to>
      <cdr:x>0.972</cdr:x>
      <cdr:y>0.06572</cdr:y>
    </cdr:to>
    <cdr:sp macro="" textlink="">
      <cdr:nvSpPr>
        <cdr:cNvPr id="8193" name="Text Box 1"/>
        <cdr:cNvSpPr txBox="1">
          <a:spLocks xmlns:a="http://schemas.openxmlformats.org/drawingml/2006/main" noChangeArrowheads="1"/>
        </cdr:cNvSpPr>
      </cdr:nvSpPr>
      <cdr:spPr bwMode="auto">
        <a:xfrm xmlns:a="http://schemas.openxmlformats.org/drawingml/2006/main">
          <a:off x="1174749" y="26373"/>
          <a:ext cx="10361083" cy="315469"/>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&amp; CENTRAGE PA18 - F-GLLN</a:t>
          </a: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161844</xdr:colOff>
      <xdr:row>27</xdr:row>
      <xdr:rowOff>248033</xdr:rowOff>
    </xdr:from>
    <xdr:to>
      <xdr:col>6</xdr:col>
      <xdr:colOff>255385</xdr:colOff>
      <xdr:row>55</xdr:row>
      <xdr:rowOff>0</xdr:rowOff>
    </xdr:to>
    <xdr:graphicFrame macro="">
      <xdr:nvGraphicFramePr>
        <xdr:cNvPr id="2" name="Chart 1">
          <a:extLst>
            <a:ext uri="{FF2B5EF4-FFF2-40B4-BE49-F238E27FC236}">
              <a16:creationId xmlns:a16="http://schemas.microsoft.com/office/drawing/2014/main" id="{DC913496-1C89-483E-BA16-8057EF12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118211</xdr:colOff>
      <xdr:row>27</xdr:row>
      <xdr:rowOff>248033</xdr:rowOff>
    </xdr:from>
    <xdr:to>
      <xdr:col>11</xdr:col>
      <xdr:colOff>171809</xdr:colOff>
      <xdr:row>55</xdr:row>
      <xdr:rowOff>0</xdr:rowOff>
    </xdr:to>
    <xdr:graphicFrame macro="">
      <xdr:nvGraphicFramePr>
        <xdr:cNvPr id="5" name="Chart 1">
          <a:extLst>
            <a:ext uri="{FF2B5EF4-FFF2-40B4-BE49-F238E27FC236}">
              <a16:creationId xmlns:a16="http://schemas.microsoft.com/office/drawing/2014/main" id="{5495DF05-431B-4A19-9062-F66082CCE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222251</xdr:colOff>
      <xdr:row>14</xdr:row>
      <xdr:rowOff>10583</xdr:rowOff>
    </xdr:from>
    <xdr:to>
      <xdr:col>2</xdr:col>
      <xdr:colOff>592668</xdr:colOff>
      <xdr:row>15</xdr:row>
      <xdr:rowOff>243417</xdr:rowOff>
    </xdr:to>
    <xdr:sp macro="" textlink="$D$22">
      <xdr:nvSpPr>
        <xdr:cNvPr id="6" name="Rectangle : coins arrondis 5">
          <a:extLst>
            <a:ext uri="{FF2B5EF4-FFF2-40B4-BE49-F238E27FC236}">
              <a16:creationId xmlns:a16="http://schemas.microsoft.com/office/drawing/2014/main" id="{FCCF75FE-A00A-400E-9AAF-0BB7ED04E4AF}"/>
            </a:ext>
          </a:extLst>
        </xdr:cNvPr>
        <xdr:cNvSpPr/>
      </xdr:nvSpPr>
      <xdr:spPr>
        <a:xfrm>
          <a:off x="222251" y="5849408"/>
          <a:ext cx="2437342" cy="547159"/>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FD2FB752-74B9-4A3C-B818-D39A9BDFA04F}"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21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14</xdr:row>
      <xdr:rowOff>0</xdr:rowOff>
    </xdr:from>
    <xdr:to>
      <xdr:col>2</xdr:col>
      <xdr:colOff>814917</xdr:colOff>
      <xdr:row>14</xdr:row>
      <xdr:rowOff>264588</xdr:rowOff>
    </xdr:to>
    <xdr:sp macro="" textlink="">
      <xdr:nvSpPr>
        <xdr:cNvPr id="7" name="ZoneTexte 6">
          <a:extLst>
            <a:ext uri="{FF2B5EF4-FFF2-40B4-BE49-F238E27FC236}">
              <a16:creationId xmlns:a16="http://schemas.microsoft.com/office/drawing/2014/main" id="{FB5999D2-DE39-48C0-8F75-3A5777675CD4}"/>
            </a:ext>
          </a:extLst>
        </xdr:cNvPr>
        <xdr:cNvSpPr txBox="1"/>
      </xdr:nvSpPr>
      <xdr:spPr>
        <a:xfrm>
          <a:off x="0" y="5838825"/>
          <a:ext cx="2881842"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editAs="oneCell">
    <xdr:from>
      <xdr:col>1</xdr:col>
      <xdr:colOff>1061736</xdr:colOff>
      <xdr:row>22</xdr:row>
      <xdr:rowOff>12651</xdr:rowOff>
    </xdr:from>
    <xdr:to>
      <xdr:col>4</xdr:col>
      <xdr:colOff>985838</xdr:colOff>
      <xdr:row>26</xdr:row>
      <xdr:rowOff>158974</xdr:rowOff>
    </xdr:to>
    <xdr:pic>
      <xdr:nvPicPr>
        <xdr:cNvPr id="8" name="Image 7">
          <a:extLst>
            <a:ext uri="{FF2B5EF4-FFF2-40B4-BE49-F238E27FC236}">
              <a16:creationId xmlns:a16="http://schemas.microsoft.com/office/drawing/2014/main" id="{08F0BBF8-CFAE-446A-8FD1-CE5F7A9AA0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19236" y="7323089"/>
          <a:ext cx="4091290" cy="1384573"/>
        </a:xfrm>
        <a:prstGeom prst="rect">
          <a:avLst/>
        </a:prstGeom>
      </xdr:spPr>
    </xdr:pic>
    <xdr:clientData/>
  </xdr:twoCellAnchor>
  <xdr:twoCellAnchor>
    <xdr:from>
      <xdr:col>2</xdr:col>
      <xdr:colOff>549729</xdr:colOff>
      <xdr:row>7</xdr:row>
      <xdr:rowOff>217424</xdr:rowOff>
    </xdr:from>
    <xdr:to>
      <xdr:col>2</xdr:col>
      <xdr:colOff>1039586</xdr:colOff>
      <xdr:row>9</xdr:row>
      <xdr:rowOff>78488</xdr:rowOff>
    </xdr:to>
    <xdr:sp macro="" textlink="">
      <xdr:nvSpPr>
        <xdr:cNvPr id="9" name="Ellipse 8">
          <a:extLst>
            <a:ext uri="{FF2B5EF4-FFF2-40B4-BE49-F238E27FC236}">
              <a16:creationId xmlns:a16="http://schemas.microsoft.com/office/drawing/2014/main" id="{163FBF0D-9C2E-446B-9158-204D8737C970}"/>
            </a:ext>
          </a:extLst>
        </xdr:cNvPr>
        <xdr:cNvSpPr/>
      </xdr:nvSpPr>
      <xdr:spPr>
        <a:xfrm>
          <a:off x="2618015" y="2922524"/>
          <a:ext cx="489857" cy="49243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545</xdr:colOff>
      <xdr:row>7</xdr:row>
      <xdr:rowOff>69897</xdr:rowOff>
    </xdr:from>
    <xdr:to>
      <xdr:col>12</xdr:col>
      <xdr:colOff>490402</xdr:colOff>
      <xdr:row>8</xdr:row>
      <xdr:rowOff>246790</xdr:rowOff>
    </xdr:to>
    <xdr:sp macro="" textlink="">
      <xdr:nvSpPr>
        <xdr:cNvPr id="10" name="Ellipse 9">
          <a:extLst>
            <a:ext uri="{FF2B5EF4-FFF2-40B4-BE49-F238E27FC236}">
              <a16:creationId xmlns:a16="http://schemas.microsoft.com/office/drawing/2014/main" id="{EA9191DB-4F2B-44EB-A9BF-D18172E4C59E}"/>
            </a:ext>
          </a:extLst>
        </xdr:cNvPr>
        <xdr:cNvSpPr/>
      </xdr:nvSpPr>
      <xdr:spPr>
        <a:xfrm>
          <a:off x="13327262" y="2770027"/>
          <a:ext cx="489857" cy="49163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11051</xdr:colOff>
      <xdr:row>6</xdr:row>
      <xdr:rowOff>69641</xdr:rowOff>
    </xdr:from>
    <xdr:to>
      <xdr:col>7</xdr:col>
      <xdr:colOff>500908</xdr:colOff>
      <xdr:row>7</xdr:row>
      <xdr:rowOff>246534</xdr:rowOff>
    </xdr:to>
    <xdr:sp macro="" textlink="">
      <xdr:nvSpPr>
        <xdr:cNvPr id="11" name="Ellipse 10">
          <a:extLst>
            <a:ext uri="{FF2B5EF4-FFF2-40B4-BE49-F238E27FC236}">
              <a16:creationId xmlns:a16="http://schemas.microsoft.com/office/drawing/2014/main" id="{F9BF0E7D-5438-4852-AA35-A728F053C519}"/>
            </a:ext>
          </a:extLst>
        </xdr:cNvPr>
        <xdr:cNvSpPr/>
      </xdr:nvSpPr>
      <xdr:spPr>
        <a:xfrm>
          <a:off x="6659966" y="2457861"/>
          <a:ext cx="489857" cy="49284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545</xdr:colOff>
      <xdr:row>17</xdr:row>
      <xdr:rowOff>247649</xdr:rowOff>
    </xdr:from>
    <xdr:to>
      <xdr:col>12</xdr:col>
      <xdr:colOff>490402</xdr:colOff>
      <xdr:row>19</xdr:row>
      <xdr:rowOff>111577</xdr:rowOff>
    </xdr:to>
    <xdr:sp macro="" textlink="">
      <xdr:nvSpPr>
        <xdr:cNvPr id="12" name="Ellipse 11">
          <a:extLst>
            <a:ext uri="{FF2B5EF4-FFF2-40B4-BE49-F238E27FC236}">
              <a16:creationId xmlns:a16="http://schemas.microsoft.com/office/drawing/2014/main" id="{D60A1E38-4201-45AC-A15D-A6D40E26CF25}"/>
            </a:ext>
          </a:extLst>
        </xdr:cNvPr>
        <xdr:cNvSpPr/>
      </xdr:nvSpPr>
      <xdr:spPr>
        <a:xfrm>
          <a:off x="13327262" y="6095171"/>
          <a:ext cx="489857" cy="49340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54428</xdr:rowOff>
    </xdr:from>
    <xdr:to>
      <xdr:col>2</xdr:col>
      <xdr:colOff>609250</xdr:colOff>
      <xdr:row>0</xdr:row>
      <xdr:rowOff>571499</xdr:rowOff>
    </xdr:to>
    <xdr:grpSp>
      <xdr:nvGrpSpPr>
        <xdr:cNvPr id="13" name="Groupe 12">
          <a:extLst>
            <a:ext uri="{FF2B5EF4-FFF2-40B4-BE49-F238E27FC236}">
              <a16:creationId xmlns:a16="http://schemas.microsoft.com/office/drawing/2014/main" id="{49504847-A1F1-49A7-BBFF-5289C7FE7969}"/>
            </a:ext>
          </a:extLst>
        </xdr:cNvPr>
        <xdr:cNvGrpSpPr/>
      </xdr:nvGrpSpPr>
      <xdr:grpSpPr>
        <a:xfrm>
          <a:off x="2846294" y="54428"/>
          <a:ext cx="2671132" cy="517071"/>
          <a:chOff x="1156608" y="20411"/>
          <a:chExt cx="2677536" cy="517071"/>
        </a:xfrm>
      </xdr:grpSpPr>
      <xdr:sp macro="" textlink="">
        <xdr:nvSpPr>
          <xdr:cNvPr id="14" name="Ellipse 13">
            <a:extLst>
              <a:ext uri="{FF2B5EF4-FFF2-40B4-BE49-F238E27FC236}">
                <a16:creationId xmlns:a16="http://schemas.microsoft.com/office/drawing/2014/main" id="{AC7BBE47-AFE3-4E2F-97E2-C1995A5BA579}"/>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5" name="Ellipse 14">
            <a:extLst>
              <a:ext uri="{FF2B5EF4-FFF2-40B4-BE49-F238E27FC236}">
                <a16:creationId xmlns:a16="http://schemas.microsoft.com/office/drawing/2014/main" id="{800CCCD6-FA1F-4595-954E-ACDDE0A2F655}"/>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6" name="ZoneTexte 15">
            <a:extLst>
              <a:ext uri="{FF2B5EF4-FFF2-40B4-BE49-F238E27FC236}">
                <a16:creationId xmlns:a16="http://schemas.microsoft.com/office/drawing/2014/main" id="{CB892770-B97D-45E8-842C-5FF1B03B4EC0}"/>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17" name="ZoneTexte 16">
            <a:extLst>
              <a:ext uri="{FF2B5EF4-FFF2-40B4-BE49-F238E27FC236}">
                <a16:creationId xmlns:a16="http://schemas.microsoft.com/office/drawing/2014/main" id="{F4A8C3AF-469B-494C-87B4-2E79AEAFE179}"/>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34636</xdr:colOff>
      <xdr:row>27</xdr:row>
      <xdr:rowOff>173074</xdr:rowOff>
    </xdr:from>
    <xdr:to>
      <xdr:col>17</xdr:col>
      <xdr:colOff>69272</xdr:colOff>
      <xdr:row>46</xdr:row>
      <xdr:rowOff>23920</xdr:rowOff>
    </xdr:to>
    <xdr:grpSp>
      <xdr:nvGrpSpPr>
        <xdr:cNvPr id="4" name="Groupe 3">
          <a:extLst>
            <a:ext uri="{FF2B5EF4-FFF2-40B4-BE49-F238E27FC236}">
              <a16:creationId xmlns:a16="http://schemas.microsoft.com/office/drawing/2014/main" id="{197CB9BA-ABDA-4A02-BF3A-F01582C79265}"/>
            </a:ext>
          </a:extLst>
        </xdr:cNvPr>
        <xdr:cNvGrpSpPr/>
      </xdr:nvGrpSpPr>
      <xdr:grpSpPr>
        <a:xfrm>
          <a:off x="16215930" y="9137780"/>
          <a:ext cx="4942813" cy="4534905"/>
          <a:chOff x="18392855" y="6726731"/>
          <a:chExt cx="5292012" cy="4924986"/>
        </a:xfrm>
      </xdr:grpSpPr>
      <xdr:sp macro="" textlink="">
        <xdr:nvSpPr>
          <xdr:cNvPr id="41" name="Rectangle : coins arrondis 40">
            <a:extLst>
              <a:ext uri="{FF2B5EF4-FFF2-40B4-BE49-F238E27FC236}">
                <a16:creationId xmlns:a16="http://schemas.microsoft.com/office/drawing/2014/main" id="{D9A4E176-91CE-476F-8398-25022B8D3165}"/>
              </a:ext>
            </a:extLst>
          </xdr:cNvPr>
          <xdr:cNvSpPr/>
        </xdr:nvSpPr>
        <xdr:spPr>
          <a:xfrm>
            <a:off x="18392855" y="6726731"/>
            <a:ext cx="4792596" cy="4924986"/>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aphicFrame macro="">
        <xdr:nvGraphicFramePr>
          <xdr:cNvPr id="44" name="Graphique 43">
            <a:extLst>
              <a:ext uri="{FF2B5EF4-FFF2-40B4-BE49-F238E27FC236}">
                <a16:creationId xmlns:a16="http://schemas.microsoft.com/office/drawing/2014/main" id="{3CB8A4E9-495C-421F-AE85-1DDA0AA2CBD4}"/>
              </a:ext>
            </a:extLst>
          </xdr:cNvPr>
          <xdr:cNvGraphicFramePr/>
        </xdr:nvGraphicFramePr>
        <xdr:xfrm>
          <a:off x="19220142" y="6914500"/>
          <a:ext cx="2768935" cy="413334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45" name="Graphique 44">
            <a:extLst>
              <a:ext uri="{FF2B5EF4-FFF2-40B4-BE49-F238E27FC236}">
                <a16:creationId xmlns:a16="http://schemas.microsoft.com/office/drawing/2014/main" id="{9C3E6AD1-E70E-4103-964A-9DF1DF09C388}"/>
              </a:ext>
            </a:extLst>
          </xdr:cNvPr>
          <xdr:cNvGraphicFramePr/>
        </xdr:nvGraphicFramePr>
        <xdr:xfrm>
          <a:off x="20921948" y="6914500"/>
          <a:ext cx="2762919" cy="4134310"/>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46" name="Groupe 45">
            <a:extLst>
              <a:ext uri="{FF2B5EF4-FFF2-40B4-BE49-F238E27FC236}">
                <a16:creationId xmlns:a16="http://schemas.microsoft.com/office/drawing/2014/main" id="{EE349098-5B45-42E8-90FD-B8C0A0089BB4}"/>
              </a:ext>
            </a:extLst>
          </xdr:cNvPr>
          <xdr:cNvGrpSpPr/>
        </xdr:nvGrpSpPr>
        <xdr:grpSpPr>
          <a:xfrm>
            <a:off x="20119012" y="10556273"/>
            <a:ext cx="2562097" cy="749557"/>
            <a:chOff x="20540874" y="13124387"/>
            <a:chExt cx="2592456" cy="779498"/>
          </a:xfrm>
        </xdr:grpSpPr>
        <xdr:sp macro="" textlink="$J$6">
          <xdr:nvSpPr>
            <xdr:cNvPr id="60" name="Rectangle : coins arrondis 59">
              <a:extLst>
                <a:ext uri="{FF2B5EF4-FFF2-40B4-BE49-F238E27FC236}">
                  <a16:creationId xmlns:a16="http://schemas.microsoft.com/office/drawing/2014/main" id="{3885DFB9-CD8A-47D2-8625-2F75D3D164B9}"/>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33E6AEA-89C2-4392-9C64-046750C95A26}" type="TxLink">
                <a:rPr lang="en-US" sz="1600" b="1" i="0" u="none" strike="noStrike">
                  <a:solidFill>
                    <a:schemeClr val="bg1"/>
                  </a:solidFill>
                  <a:latin typeface="Book Antiqua"/>
                </a:rPr>
                <a:pPr algn="ctr"/>
                <a:t>1 h et 51 mn</a:t>
              </a:fld>
              <a:endParaRPr lang="fr-FR" sz="1800">
                <a:solidFill>
                  <a:schemeClr val="bg1"/>
                </a:solidFill>
              </a:endParaRPr>
            </a:p>
          </xdr:txBody>
        </xdr:sp>
        <xdr:sp macro="" textlink="">
          <xdr:nvSpPr>
            <xdr:cNvPr id="61" name="Rectangle 60">
              <a:extLst>
                <a:ext uri="{FF2B5EF4-FFF2-40B4-BE49-F238E27FC236}">
                  <a16:creationId xmlns:a16="http://schemas.microsoft.com/office/drawing/2014/main" id="{25FC65D4-640A-4997-AB24-5E29032370A2}"/>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47" name="Groupe 46">
            <a:extLst>
              <a:ext uri="{FF2B5EF4-FFF2-40B4-BE49-F238E27FC236}">
                <a16:creationId xmlns:a16="http://schemas.microsoft.com/office/drawing/2014/main" id="{4F36CADE-81D5-46B4-8481-7226AFED7CAF}"/>
              </a:ext>
            </a:extLst>
          </xdr:cNvPr>
          <xdr:cNvGrpSpPr/>
        </xdr:nvGrpSpPr>
        <xdr:grpSpPr>
          <a:xfrm>
            <a:off x="18477389" y="7537191"/>
            <a:ext cx="1433696" cy="3774283"/>
            <a:chOff x="21115755" y="9612661"/>
            <a:chExt cx="1446142" cy="3861552"/>
          </a:xfrm>
        </xdr:grpSpPr>
        <xdr:grpSp>
          <xdr:nvGrpSpPr>
            <xdr:cNvPr id="48" name="Groupe 47">
              <a:extLst>
                <a:ext uri="{FF2B5EF4-FFF2-40B4-BE49-F238E27FC236}">
                  <a16:creationId xmlns:a16="http://schemas.microsoft.com/office/drawing/2014/main" id="{EDDD8AE7-90B5-4D77-BA12-0A583B3017E5}"/>
                </a:ext>
              </a:extLst>
            </xdr:cNvPr>
            <xdr:cNvGrpSpPr/>
          </xdr:nvGrpSpPr>
          <xdr:grpSpPr>
            <a:xfrm rot="5400000">
              <a:off x="21292935" y="9461362"/>
              <a:ext cx="1063620" cy="1366218"/>
              <a:chOff x="21097375" y="9615841"/>
              <a:chExt cx="1408044" cy="1134646"/>
            </a:xfrm>
          </xdr:grpSpPr>
          <xdr:sp macro="" textlink="Capacité_carburant_Max_02">
            <xdr:nvSpPr>
              <xdr:cNvPr id="58" name="Flèche : pentagone 57">
                <a:extLst>
                  <a:ext uri="{FF2B5EF4-FFF2-40B4-BE49-F238E27FC236}">
                    <a16:creationId xmlns:a16="http://schemas.microsoft.com/office/drawing/2014/main" id="{9132BF0F-264C-4527-9C81-7A4019A685A0}"/>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0038231F-7036-4257-8A91-4C7B3BBF7B1F}" type="TxLink">
                  <a:rPr lang="en-US" sz="1400" b="1" i="0" u="none" strike="noStrike">
                    <a:solidFill>
                      <a:srgbClr val="000000"/>
                    </a:solidFill>
                    <a:effectLst/>
                    <a:latin typeface="Book Antiqua"/>
                  </a:rPr>
                  <a:pPr algn="ctr"/>
                  <a:t>57,0 L</a:t>
                </a:fld>
                <a:endParaRPr lang="fr-FR" sz="1400" b="1">
                  <a:solidFill>
                    <a:srgbClr val="002060"/>
                  </a:solidFill>
                  <a:effectLst/>
                </a:endParaRPr>
              </a:p>
            </xdr:txBody>
          </xdr:sp>
          <xdr:sp macro="" textlink="">
            <xdr:nvSpPr>
              <xdr:cNvPr id="59" name="ZoneTexte 58">
                <a:extLst>
                  <a:ext uri="{FF2B5EF4-FFF2-40B4-BE49-F238E27FC236}">
                    <a16:creationId xmlns:a16="http://schemas.microsoft.com/office/drawing/2014/main" id="{0C0FF3B0-E323-4993-8229-AB2597C75D09}"/>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49" name="Groupe 48">
              <a:extLst>
                <a:ext uri="{FF2B5EF4-FFF2-40B4-BE49-F238E27FC236}">
                  <a16:creationId xmlns:a16="http://schemas.microsoft.com/office/drawing/2014/main" id="{D08FBB37-695F-459C-8104-4AE61FC9BB89}"/>
                </a:ext>
              </a:extLst>
            </xdr:cNvPr>
            <xdr:cNvGrpSpPr/>
          </xdr:nvGrpSpPr>
          <xdr:grpSpPr>
            <a:xfrm rot="5400000">
              <a:off x="21137289" y="10185154"/>
              <a:ext cx="1408044" cy="1441173"/>
              <a:chOff x="21128934" y="10031614"/>
              <a:chExt cx="1408044" cy="715464"/>
            </a:xfrm>
          </xdr:grpSpPr>
          <xdr:sp macro="" textlink="Carburant_utilisable_02">
            <xdr:nvSpPr>
              <xdr:cNvPr id="56" name="Flèche : chevron 55">
                <a:extLst>
                  <a:ext uri="{FF2B5EF4-FFF2-40B4-BE49-F238E27FC236}">
                    <a16:creationId xmlns:a16="http://schemas.microsoft.com/office/drawing/2014/main" id="{CD1C4511-CB56-4F9F-B853-A2775F9C4918}"/>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AC63FB2C-0E58-464E-8BEC-D71E44820368}" type="TxLink">
                  <a:rPr lang="en-US" sz="1400" b="1" i="0" u="none" strike="noStrike">
                    <a:solidFill>
                      <a:srgbClr val="000000"/>
                    </a:solidFill>
                    <a:effectLst/>
                    <a:latin typeface="Book Antiqua"/>
                  </a:rPr>
                  <a:pPr algn="ctr"/>
                  <a:t>52,0 L</a:t>
                </a:fld>
                <a:endParaRPr lang="fr-FR" sz="1400" b="1">
                  <a:solidFill>
                    <a:schemeClr val="accent6">
                      <a:lumMod val="50000"/>
                    </a:schemeClr>
                  </a:solidFill>
                  <a:effectLst/>
                </a:endParaRPr>
              </a:p>
            </xdr:txBody>
          </xdr:sp>
          <xdr:sp macro="" textlink="">
            <xdr:nvSpPr>
              <xdr:cNvPr id="57" name="ZoneTexte 56">
                <a:extLst>
                  <a:ext uri="{FF2B5EF4-FFF2-40B4-BE49-F238E27FC236}">
                    <a16:creationId xmlns:a16="http://schemas.microsoft.com/office/drawing/2014/main" id="{CDFEE9AC-F249-4102-B9F2-054DFC9E81DA}"/>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50" name="Groupe 49">
              <a:extLst>
                <a:ext uri="{FF2B5EF4-FFF2-40B4-BE49-F238E27FC236}">
                  <a16:creationId xmlns:a16="http://schemas.microsoft.com/office/drawing/2014/main" id="{FAE03A50-EB6C-4EDA-AD8C-8EBE4D44A0A9}"/>
                </a:ext>
              </a:extLst>
            </xdr:cNvPr>
            <xdr:cNvGrpSpPr/>
          </xdr:nvGrpSpPr>
          <xdr:grpSpPr>
            <a:xfrm rot="5400000">
              <a:off x="21137289" y="11118637"/>
              <a:ext cx="1408044" cy="1441173"/>
              <a:chOff x="21128934" y="10031614"/>
              <a:chExt cx="1408044" cy="715464"/>
            </a:xfrm>
          </xdr:grpSpPr>
          <xdr:sp macro="" textlink="$S$19">
            <xdr:nvSpPr>
              <xdr:cNvPr id="54" name="Flèche : chevron 53">
                <a:extLst>
                  <a:ext uri="{FF2B5EF4-FFF2-40B4-BE49-F238E27FC236}">
                    <a16:creationId xmlns:a16="http://schemas.microsoft.com/office/drawing/2014/main" id="{F03A39A5-C4B9-41F9-9263-2E2D26FEC22C}"/>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58E0D5D5-9972-47BF-83F9-77D6B9D607C4}" type="TxLink">
                  <a:rPr lang="en-US" sz="1400" b="1" i="0" u="none" strike="noStrike">
                    <a:solidFill>
                      <a:srgbClr val="C00000"/>
                    </a:solidFill>
                    <a:effectLst/>
                    <a:latin typeface="Book Antiqua"/>
                  </a:rPr>
                  <a:pPr algn="ctr"/>
                  <a:t>5 L</a:t>
                </a:fld>
                <a:endParaRPr lang="fr-FR" sz="1400" b="1">
                  <a:solidFill>
                    <a:srgbClr val="C00000"/>
                  </a:solidFill>
                  <a:effectLst/>
                </a:endParaRPr>
              </a:p>
            </xdr:txBody>
          </xdr:sp>
          <xdr:sp macro="" textlink="">
            <xdr:nvSpPr>
              <xdr:cNvPr id="55" name="ZoneTexte 54">
                <a:extLst>
                  <a:ext uri="{FF2B5EF4-FFF2-40B4-BE49-F238E27FC236}">
                    <a16:creationId xmlns:a16="http://schemas.microsoft.com/office/drawing/2014/main" id="{D1462508-E31C-4733-9591-C0F62AF0BDEC}"/>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51" name="Groupe 50">
              <a:extLst>
                <a:ext uri="{FF2B5EF4-FFF2-40B4-BE49-F238E27FC236}">
                  <a16:creationId xmlns:a16="http://schemas.microsoft.com/office/drawing/2014/main" id="{A15FB37E-6F5C-43B3-B41B-45A83A8305EF}"/>
                </a:ext>
              </a:extLst>
            </xdr:cNvPr>
            <xdr:cNvGrpSpPr/>
          </xdr:nvGrpSpPr>
          <xdr:grpSpPr>
            <a:xfrm rot="5400000">
              <a:off x="21132320" y="12049604"/>
              <a:ext cx="1408044" cy="1441173"/>
              <a:chOff x="21128935" y="10031614"/>
              <a:chExt cx="1408044" cy="715464"/>
            </a:xfrm>
          </xdr:grpSpPr>
          <xdr:sp macro="" textlink="Carburant_Bloc_02">
            <xdr:nvSpPr>
              <xdr:cNvPr id="52" name="Flèche : chevron 42">
                <a:extLst>
                  <a:ext uri="{FF2B5EF4-FFF2-40B4-BE49-F238E27FC236}">
                    <a16:creationId xmlns:a16="http://schemas.microsoft.com/office/drawing/2014/main" id="{A7F9F3E0-430A-4278-8CC0-A8D6AC8F5E35}"/>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21DCFC55-EB3F-4B67-A117-78565DD4B449}" type="TxLink">
                  <a:rPr lang="en-US" sz="1400" b="1" i="0" u="none" strike="noStrike">
                    <a:solidFill>
                      <a:srgbClr val="FFFFFF"/>
                    </a:solidFill>
                    <a:effectLst/>
                    <a:latin typeface="Book Antiqua"/>
                  </a:rPr>
                  <a:pPr algn="ctr"/>
                  <a:t>51,3 L</a:t>
                </a:fld>
                <a:endParaRPr lang="fr-FR" sz="1400" b="1">
                  <a:solidFill>
                    <a:srgbClr val="C00000"/>
                  </a:solidFill>
                  <a:effectLst/>
                </a:endParaRPr>
              </a:p>
            </xdr:txBody>
          </xdr:sp>
          <xdr:sp macro="" textlink="">
            <xdr:nvSpPr>
              <xdr:cNvPr id="53" name="ZoneTexte 52">
                <a:extLst>
                  <a:ext uri="{FF2B5EF4-FFF2-40B4-BE49-F238E27FC236}">
                    <a16:creationId xmlns:a16="http://schemas.microsoft.com/office/drawing/2014/main" id="{7EEBEBA8-41B1-402C-A416-AD7920BC305C}"/>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sp macro="" textlink="">
        <xdr:nvSpPr>
          <xdr:cNvPr id="43" name="Rectangle : coins arrondis 42">
            <a:extLst>
              <a:ext uri="{FF2B5EF4-FFF2-40B4-BE49-F238E27FC236}">
                <a16:creationId xmlns:a16="http://schemas.microsoft.com/office/drawing/2014/main" id="{BE3D1EB7-24D3-4BF9-AFDB-B1AC6AE4E073}"/>
              </a:ext>
            </a:extLst>
          </xdr:cNvPr>
          <xdr:cNvSpPr/>
        </xdr:nvSpPr>
        <xdr:spPr>
          <a:xfrm>
            <a:off x="19087623" y="6815280"/>
            <a:ext cx="3425797" cy="508567"/>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sp macro="" textlink="$U$18">
        <xdr:nvSpPr>
          <xdr:cNvPr id="63" name="ZoneTexte 62">
            <a:extLst>
              <a:ext uri="{FF2B5EF4-FFF2-40B4-BE49-F238E27FC236}">
                <a16:creationId xmlns:a16="http://schemas.microsoft.com/office/drawing/2014/main" id="{67719429-F171-4951-927B-C63C83F513BA}"/>
              </a:ext>
            </a:extLst>
          </xdr:cNvPr>
          <xdr:cNvSpPr txBox="1"/>
        </xdr:nvSpPr>
        <xdr:spPr>
          <a:xfrm>
            <a:off x="19789588" y="9407338"/>
            <a:ext cx="1423948"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B878B92A-AB62-47A0-B0EF-32FB185A117B}" type="TxLink">
              <a:rPr lang="en-US" sz="1400" b="1" i="0" u="none" strike="noStrike">
                <a:solidFill>
                  <a:schemeClr val="accent6">
                    <a:lumMod val="50000"/>
                  </a:schemeClr>
                </a:solidFill>
                <a:latin typeface="Book Antiqua"/>
              </a:rPr>
              <a:pPr algn="ctr"/>
              <a:t>6,60 Gal US</a:t>
            </a:fld>
            <a:endParaRPr lang="fr-FR" sz="1100" b="1">
              <a:solidFill>
                <a:schemeClr val="accent6">
                  <a:lumMod val="50000"/>
                </a:schemeClr>
              </a:solidFill>
              <a:latin typeface="Book Antiqua" panose="02040602050305030304" pitchFamily="18" charset="0"/>
            </a:endParaRPr>
          </a:p>
        </xdr:txBody>
      </xdr:sp>
      <xdr:sp macro="" textlink="$U$16">
        <xdr:nvSpPr>
          <xdr:cNvPr id="64" name="ZoneTexte 63">
            <a:extLst>
              <a:ext uri="{FF2B5EF4-FFF2-40B4-BE49-F238E27FC236}">
                <a16:creationId xmlns:a16="http://schemas.microsoft.com/office/drawing/2014/main" id="{A189300A-F804-477C-9587-35529ED5577A}"/>
              </a:ext>
            </a:extLst>
          </xdr:cNvPr>
          <xdr:cNvSpPr txBox="1"/>
        </xdr:nvSpPr>
        <xdr:spPr>
          <a:xfrm>
            <a:off x="21515294" y="9407338"/>
            <a:ext cx="1423948"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4FBFCA1C-1E6F-4E01-8EE2-A07E960A4A4F}" type="TxLink">
              <a:rPr lang="en-US" sz="1400" b="1" i="0" u="none" strike="noStrike">
                <a:solidFill>
                  <a:schemeClr val="accent6">
                    <a:lumMod val="50000"/>
                  </a:schemeClr>
                </a:solidFill>
                <a:latin typeface="Book Antiqua"/>
              </a:rPr>
              <a:pPr algn="ctr"/>
              <a:t>8,45 Gal US</a:t>
            </a:fld>
            <a:endParaRPr lang="fr-FR" sz="1100" b="1">
              <a:solidFill>
                <a:schemeClr val="accent6">
                  <a:lumMod val="50000"/>
                </a:schemeClr>
              </a:solidFill>
              <a:latin typeface="Book Antiqua" panose="02040602050305030304" pitchFamily="18" charset="0"/>
            </a:endParaRPr>
          </a:p>
        </xdr:txBody>
      </xdr:sp>
    </xdr:grpSp>
    <xdr:clientData/>
  </xdr:twoCellAnchor>
  <xdr:twoCellAnchor>
    <xdr:from>
      <xdr:col>9</xdr:col>
      <xdr:colOff>34542</xdr:colOff>
      <xdr:row>3</xdr:row>
      <xdr:rowOff>27214</xdr:rowOff>
    </xdr:from>
    <xdr:to>
      <xdr:col>10</xdr:col>
      <xdr:colOff>1047750</xdr:colOff>
      <xdr:row>4</xdr:row>
      <xdr:rowOff>276010</xdr:rowOff>
    </xdr:to>
    <xdr:sp macro="" textlink="">
      <xdr:nvSpPr>
        <xdr:cNvPr id="84" name="Bulle narrative : rectangle 83">
          <a:extLst>
            <a:ext uri="{FF2B5EF4-FFF2-40B4-BE49-F238E27FC236}">
              <a16:creationId xmlns:a16="http://schemas.microsoft.com/office/drawing/2014/main" id="{AFB75A3A-2E28-415C-8FD5-A7DCA16A8B19}"/>
            </a:ext>
          </a:extLst>
        </xdr:cNvPr>
        <xdr:cNvSpPr/>
      </xdr:nvSpPr>
      <xdr:spPr>
        <a:xfrm>
          <a:off x="13706580" y="1287445"/>
          <a:ext cx="2060958" cy="563853"/>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7</xdr:col>
      <xdr:colOff>432604</xdr:colOff>
      <xdr:row>30</xdr:row>
      <xdr:rowOff>155524</xdr:rowOff>
    </xdr:from>
    <xdr:to>
      <xdr:col>7</xdr:col>
      <xdr:colOff>2514872</xdr:colOff>
      <xdr:row>34</xdr:row>
      <xdr:rowOff>8005</xdr:rowOff>
    </xdr:to>
    <xdr:grpSp>
      <xdr:nvGrpSpPr>
        <xdr:cNvPr id="85" name="Groupe 84">
          <a:extLst>
            <a:ext uri="{FF2B5EF4-FFF2-40B4-BE49-F238E27FC236}">
              <a16:creationId xmlns:a16="http://schemas.microsoft.com/office/drawing/2014/main" id="{5810D651-A6C0-413B-91E4-030FD8D80CAC}"/>
            </a:ext>
          </a:extLst>
        </xdr:cNvPr>
        <xdr:cNvGrpSpPr/>
      </xdr:nvGrpSpPr>
      <xdr:grpSpPr>
        <a:xfrm>
          <a:off x="9935192" y="10061524"/>
          <a:ext cx="2082268" cy="771363"/>
          <a:chOff x="0" y="0"/>
          <a:chExt cx="2083728" cy="819329"/>
        </a:xfrm>
      </xdr:grpSpPr>
      <xdr:sp macro="" textlink="">
        <xdr:nvSpPr>
          <xdr:cNvPr id="86" name="Rectangle 85">
            <a:extLst>
              <a:ext uri="{FF2B5EF4-FFF2-40B4-BE49-F238E27FC236}">
                <a16:creationId xmlns:a16="http://schemas.microsoft.com/office/drawing/2014/main" id="{0E9CCB0A-DD41-46FD-A03C-54567B7F030F}"/>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87" name="Rectangle 86">
            <a:extLst>
              <a:ext uri="{FF2B5EF4-FFF2-40B4-BE49-F238E27FC236}">
                <a16:creationId xmlns:a16="http://schemas.microsoft.com/office/drawing/2014/main" id="{91C00AC2-E8AD-4EFF-BFAE-B445361022E7}"/>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88" name="Rectangle 87">
            <a:extLst>
              <a:ext uri="{FF2B5EF4-FFF2-40B4-BE49-F238E27FC236}">
                <a16:creationId xmlns:a16="http://schemas.microsoft.com/office/drawing/2014/main" id="{3F921B00-E29F-45D7-AF90-8F1391212095}"/>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1</xdr:col>
      <xdr:colOff>907253</xdr:colOff>
      <xdr:row>30</xdr:row>
      <xdr:rowOff>155524</xdr:rowOff>
    </xdr:from>
    <xdr:to>
      <xdr:col>2</xdr:col>
      <xdr:colOff>926838</xdr:colOff>
      <xdr:row>34</xdr:row>
      <xdr:rowOff>8005</xdr:rowOff>
    </xdr:to>
    <xdr:grpSp>
      <xdr:nvGrpSpPr>
        <xdr:cNvPr id="89" name="Groupe 88">
          <a:extLst>
            <a:ext uri="{FF2B5EF4-FFF2-40B4-BE49-F238E27FC236}">
              <a16:creationId xmlns:a16="http://schemas.microsoft.com/office/drawing/2014/main" id="{09C59676-DE10-488F-9DFB-11F63846AC22}"/>
            </a:ext>
          </a:extLst>
        </xdr:cNvPr>
        <xdr:cNvGrpSpPr/>
      </xdr:nvGrpSpPr>
      <xdr:grpSpPr>
        <a:xfrm>
          <a:off x="3753547" y="10061524"/>
          <a:ext cx="2081467" cy="771363"/>
          <a:chOff x="0" y="0"/>
          <a:chExt cx="2083728" cy="819329"/>
        </a:xfrm>
      </xdr:grpSpPr>
      <xdr:sp macro="" textlink="">
        <xdr:nvSpPr>
          <xdr:cNvPr id="90" name="Rectangle 89">
            <a:extLst>
              <a:ext uri="{FF2B5EF4-FFF2-40B4-BE49-F238E27FC236}">
                <a16:creationId xmlns:a16="http://schemas.microsoft.com/office/drawing/2014/main" id="{AA923954-9A7C-4ADD-BC46-84E55743CB25}"/>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91" name="Rectangle 90">
            <a:extLst>
              <a:ext uri="{FF2B5EF4-FFF2-40B4-BE49-F238E27FC236}">
                <a16:creationId xmlns:a16="http://schemas.microsoft.com/office/drawing/2014/main" id="{79AD83A1-F7EA-42EE-B002-637BC00E65AB}"/>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92" name="Rectangle 91">
            <a:extLst>
              <a:ext uri="{FF2B5EF4-FFF2-40B4-BE49-F238E27FC236}">
                <a16:creationId xmlns:a16="http://schemas.microsoft.com/office/drawing/2014/main" id="{116B9C75-BD10-4E0D-90BD-EF70C699CC3C}"/>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0</xdr:col>
      <xdr:colOff>102576</xdr:colOff>
      <xdr:row>0</xdr:row>
      <xdr:rowOff>1</xdr:rowOff>
    </xdr:from>
    <xdr:to>
      <xdr:col>0</xdr:col>
      <xdr:colOff>2764312</xdr:colOff>
      <xdr:row>55</xdr:row>
      <xdr:rowOff>0</xdr:rowOff>
    </xdr:to>
    <xdr:grpSp>
      <xdr:nvGrpSpPr>
        <xdr:cNvPr id="18" name="Groupe 17">
          <a:extLst>
            <a:ext uri="{FF2B5EF4-FFF2-40B4-BE49-F238E27FC236}">
              <a16:creationId xmlns:a16="http://schemas.microsoft.com/office/drawing/2014/main" id="{DE7C68D6-4566-4733-8730-FEA367C48220}"/>
            </a:ext>
          </a:extLst>
        </xdr:cNvPr>
        <xdr:cNvGrpSpPr/>
      </xdr:nvGrpSpPr>
      <xdr:grpSpPr>
        <a:xfrm>
          <a:off x="102576" y="1"/>
          <a:ext cx="2661736" cy="15789087"/>
          <a:chOff x="95249" y="1"/>
          <a:chExt cx="2661736" cy="15974786"/>
        </a:xfrm>
      </xdr:grpSpPr>
      <xdr:grpSp>
        <xdr:nvGrpSpPr>
          <xdr:cNvPr id="40" name="Groupe 39">
            <a:extLst>
              <a:ext uri="{FF2B5EF4-FFF2-40B4-BE49-F238E27FC236}">
                <a16:creationId xmlns:a16="http://schemas.microsoft.com/office/drawing/2014/main" id="{A4A12F74-362D-45B3-B257-EB4E1A50F216}"/>
              </a:ext>
            </a:extLst>
          </xdr:cNvPr>
          <xdr:cNvGrpSpPr/>
        </xdr:nvGrpSpPr>
        <xdr:grpSpPr>
          <a:xfrm>
            <a:off x="104775" y="1"/>
            <a:ext cx="2652210" cy="15974786"/>
            <a:chOff x="0" y="1"/>
            <a:chExt cx="2652210" cy="15878191"/>
          </a:xfrm>
        </xdr:grpSpPr>
        <xdr:grpSp>
          <xdr:nvGrpSpPr>
            <xdr:cNvPr id="42" name="Groupe 41">
              <a:extLst>
                <a:ext uri="{FF2B5EF4-FFF2-40B4-BE49-F238E27FC236}">
                  <a16:creationId xmlns:a16="http://schemas.microsoft.com/office/drawing/2014/main" id="{D4688B34-FAB2-41F9-8FF2-8AFACDE829F9}"/>
                </a:ext>
              </a:extLst>
            </xdr:cNvPr>
            <xdr:cNvGrpSpPr/>
          </xdr:nvGrpSpPr>
          <xdr:grpSpPr>
            <a:xfrm>
              <a:off x="0" y="1"/>
              <a:ext cx="2652210" cy="15878191"/>
              <a:chOff x="0" y="1"/>
              <a:chExt cx="2652210" cy="15874609"/>
            </a:xfrm>
          </xdr:grpSpPr>
          <xdr:grpSp>
            <xdr:nvGrpSpPr>
              <xdr:cNvPr id="65" name="Groupe 64">
                <a:extLst>
                  <a:ext uri="{FF2B5EF4-FFF2-40B4-BE49-F238E27FC236}">
                    <a16:creationId xmlns:a16="http://schemas.microsoft.com/office/drawing/2014/main" id="{7AFE5B6F-14B0-4D62-9E37-34C47F4B56CA}"/>
                  </a:ext>
                </a:extLst>
              </xdr:cNvPr>
              <xdr:cNvGrpSpPr/>
            </xdr:nvGrpSpPr>
            <xdr:grpSpPr>
              <a:xfrm>
                <a:off x="0" y="1"/>
                <a:ext cx="2652210" cy="15874609"/>
                <a:chOff x="0" y="1"/>
                <a:chExt cx="2652210" cy="15737504"/>
              </a:xfrm>
            </xdr:grpSpPr>
            <xdr:pic>
              <xdr:nvPicPr>
                <xdr:cNvPr id="67" name="Image 66">
                  <a:extLst>
                    <a:ext uri="{FF2B5EF4-FFF2-40B4-BE49-F238E27FC236}">
                      <a16:creationId xmlns:a16="http://schemas.microsoft.com/office/drawing/2014/main" id="{A9B91B81-CD14-4C65-96D2-8FC7CE731553}"/>
                    </a:ext>
                  </a:extLst>
                </xdr:cNvPr>
                <xdr:cNvPicPr>
                  <a:picLocks noChangeAspect="1"/>
                </xdr:cNvPicPr>
              </xdr:nvPicPr>
              <xdr:blipFill>
                <a:blip xmlns:r="http://schemas.openxmlformats.org/officeDocument/2006/relationships" r:embed="rId6" cstate="print">
                  <a:alphaModFix amt="50000"/>
                  <a:extLst>
                    <a:ext uri="{28A0092B-C50C-407E-A947-70E740481C1C}">
                      <a14:useLocalDpi xmlns:a14="http://schemas.microsoft.com/office/drawing/2010/main" val="0"/>
                    </a:ext>
                  </a:extLst>
                </a:blip>
                <a:stretch>
                  <a:fillRect/>
                </a:stretch>
              </xdr:blipFill>
              <xdr:spPr>
                <a:xfrm>
                  <a:off x="0" y="1"/>
                  <a:ext cx="2643187" cy="15737504"/>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68" name="Groupe 67">
                  <a:extLst>
                    <a:ext uri="{FF2B5EF4-FFF2-40B4-BE49-F238E27FC236}">
                      <a16:creationId xmlns:a16="http://schemas.microsoft.com/office/drawing/2014/main" id="{B076D5D4-0F6D-4B37-9E05-CEA16174F18C}"/>
                    </a:ext>
                  </a:extLst>
                </xdr:cNvPr>
                <xdr:cNvGrpSpPr/>
              </xdr:nvGrpSpPr>
              <xdr:grpSpPr>
                <a:xfrm>
                  <a:off x="8283" y="2949975"/>
                  <a:ext cx="2637419" cy="1073362"/>
                  <a:chOff x="8283" y="2972387"/>
                  <a:chExt cx="2637419" cy="1090171"/>
                </a:xfrm>
              </xdr:grpSpPr>
              <xdr:sp macro="" textlink="">
                <xdr:nvSpPr>
                  <xdr:cNvPr id="82" name="Ellipse 81">
                    <a:extLst>
                      <a:ext uri="{FF2B5EF4-FFF2-40B4-BE49-F238E27FC236}">
                        <a16:creationId xmlns:a16="http://schemas.microsoft.com/office/drawing/2014/main" id="{4B34BB3A-63D0-4DD7-BB09-7418787F5C77}"/>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83" name="ZoneTexte 82">
                    <a:extLst>
                      <a:ext uri="{FF2B5EF4-FFF2-40B4-BE49-F238E27FC236}">
                        <a16:creationId xmlns:a16="http://schemas.microsoft.com/office/drawing/2014/main" id="{1C0D2E45-9688-49BA-A7F8-D7E415E25C5C}"/>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69" name="Groupe 68">
                  <a:extLst>
                    <a:ext uri="{FF2B5EF4-FFF2-40B4-BE49-F238E27FC236}">
                      <a16:creationId xmlns:a16="http://schemas.microsoft.com/office/drawing/2014/main" id="{ED86CB09-3D90-45E7-842F-8A1C99143973}"/>
                    </a:ext>
                  </a:extLst>
                </xdr:cNvPr>
                <xdr:cNvGrpSpPr/>
              </xdr:nvGrpSpPr>
              <xdr:grpSpPr>
                <a:xfrm>
                  <a:off x="1775" y="4904976"/>
                  <a:ext cx="2650435" cy="1365994"/>
                  <a:chOff x="1775" y="4956803"/>
                  <a:chExt cx="2650435" cy="1382803"/>
                </a:xfrm>
              </xdr:grpSpPr>
              <xdr:sp macro="" textlink="">
                <xdr:nvSpPr>
                  <xdr:cNvPr id="80" name="Ellipse 79">
                    <a:extLst>
                      <a:ext uri="{FF2B5EF4-FFF2-40B4-BE49-F238E27FC236}">
                        <a16:creationId xmlns:a16="http://schemas.microsoft.com/office/drawing/2014/main" id="{0C53451C-D3AB-4396-8B48-FD608FD2741A}"/>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81" name="ZoneTexte 80">
                    <a:extLst>
                      <a:ext uri="{FF2B5EF4-FFF2-40B4-BE49-F238E27FC236}">
                        <a16:creationId xmlns:a16="http://schemas.microsoft.com/office/drawing/2014/main" id="{93D8625F-A5A0-47CA-B60E-46F525FD150A}"/>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70" name="Groupe 69">
                  <a:extLst>
                    <a:ext uri="{FF2B5EF4-FFF2-40B4-BE49-F238E27FC236}">
                      <a16:creationId xmlns:a16="http://schemas.microsoft.com/office/drawing/2014/main" id="{6640611E-E4EE-4418-819F-B9061CAE3705}"/>
                    </a:ext>
                  </a:extLst>
                </xdr:cNvPr>
                <xdr:cNvGrpSpPr/>
              </xdr:nvGrpSpPr>
              <xdr:grpSpPr>
                <a:xfrm>
                  <a:off x="1775" y="6654494"/>
                  <a:ext cx="2650435" cy="1361792"/>
                  <a:chOff x="1775" y="6727332"/>
                  <a:chExt cx="2650435" cy="1382803"/>
                </a:xfrm>
              </xdr:grpSpPr>
              <xdr:sp macro="" textlink="">
                <xdr:nvSpPr>
                  <xdr:cNvPr id="78" name="Ellipse 77">
                    <a:extLst>
                      <a:ext uri="{FF2B5EF4-FFF2-40B4-BE49-F238E27FC236}">
                        <a16:creationId xmlns:a16="http://schemas.microsoft.com/office/drawing/2014/main" id="{0DEC205D-9CFF-4C16-ABC1-BD903DF03071}"/>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79" name="ZoneTexte 78">
                    <a:extLst>
                      <a:ext uri="{FF2B5EF4-FFF2-40B4-BE49-F238E27FC236}">
                        <a16:creationId xmlns:a16="http://schemas.microsoft.com/office/drawing/2014/main" id="{EDAB6B7D-1B66-416C-A93E-57C497715067}"/>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71" name="Groupe 70">
                  <a:extLst>
                    <a:ext uri="{FF2B5EF4-FFF2-40B4-BE49-F238E27FC236}">
                      <a16:creationId xmlns:a16="http://schemas.microsoft.com/office/drawing/2014/main" id="{8B42CD7E-7C0A-417F-AB86-F59364792C7B}"/>
                    </a:ext>
                  </a:extLst>
                </xdr:cNvPr>
                <xdr:cNvGrpSpPr/>
              </xdr:nvGrpSpPr>
              <xdr:grpSpPr>
                <a:xfrm>
                  <a:off x="1775" y="8354988"/>
                  <a:ext cx="2650435" cy="1253934"/>
                  <a:chOff x="1775" y="8453039"/>
                  <a:chExt cx="2650435" cy="1270743"/>
                </a:xfrm>
              </xdr:grpSpPr>
              <xdr:sp macro="" textlink="">
                <xdr:nvSpPr>
                  <xdr:cNvPr id="76" name="Ellipse 75">
                    <a:extLst>
                      <a:ext uri="{FF2B5EF4-FFF2-40B4-BE49-F238E27FC236}">
                        <a16:creationId xmlns:a16="http://schemas.microsoft.com/office/drawing/2014/main" id="{344B24F8-DF94-40BD-B9C1-5643044850AE}"/>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77" name="ZoneTexte 76">
                    <a:extLst>
                      <a:ext uri="{FF2B5EF4-FFF2-40B4-BE49-F238E27FC236}">
                        <a16:creationId xmlns:a16="http://schemas.microsoft.com/office/drawing/2014/main" id="{7C25FF45-029F-4D6C-84DD-8AB575DDB41B}"/>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72" name="Groupe 71">
                  <a:extLst>
                    <a:ext uri="{FF2B5EF4-FFF2-40B4-BE49-F238E27FC236}">
                      <a16:creationId xmlns:a16="http://schemas.microsoft.com/office/drawing/2014/main" id="{AF69FE5C-2654-463A-A537-54303D10C7FC}"/>
                    </a:ext>
                  </a:extLst>
                </xdr:cNvPr>
                <xdr:cNvGrpSpPr/>
              </xdr:nvGrpSpPr>
              <xdr:grpSpPr>
                <a:xfrm>
                  <a:off x="1775" y="9723905"/>
                  <a:ext cx="2650435" cy="2783261"/>
                  <a:chOff x="1775" y="9838765"/>
                  <a:chExt cx="2650435" cy="2734235"/>
                </a:xfrm>
              </xdr:grpSpPr>
              <xdr:sp macro="" textlink="">
                <xdr:nvSpPr>
                  <xdr:cNvPr id="74" name="ZoneTexte 73">
                    <a:extLst>
                      <a:ext uri="{FF2B5EF4-FFF2-40B4-BE49-F238E27FC236}">
                        <a16:creationId xmlns:a16="http://schemas.microsoft.com/office/drawing/2014/main" id="{1C8555A9-CA48-45F8-A454-057CE5F4B10A}"/>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75" name="Image 74">
                    <a:extLst>
                      <a:ext uri="{FF2B5EF4-FFF2-40B4-BE49-F238E27FC236}">
                        <a16:creationId xmlns:a16="http://schemas.microsoft.com/office/drawing/2014/main" id="{03CF0E07-1ABC-4060-9D05-562D1E8A9F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73" name="ZoneTexte 72">
                  <a:extLst>
                    <a:ext uri="{FF2B5EF4-FFF2-40B4-BE49-F238E27FC236}">
                      <a16:creationId xmlns:a16="http://schemas.microsoft.com/office/drawing/2014/main" id="{CEDDFF20-C0A4-48E2-A9D6-3CAD787286ED}"/>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66" name="Image 65">
                <a:extLst>
                  <a:ext uri="{FF2B5EF4-FFF2-40B4-BE49-F238E27FC236}">
                    <a16:creationId xmlns:a16="http://schemas.microsoft.com/office/drawing/2014/main" id="{1ACF6587-3C65-4FD0-BDB3-DFCDEF86E1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62" name="Image 61">
              <a:extLst>
                <a:ext uri="{FF2B5EF4-FFF2-40B4-BE49-F238E27FC236}">
                  <a16:creationId xmlns:a16="http://schemas.microsoft.com/office/drawing/2014/main" id="{81B11E76-5924-4B88-8565-2CB9411ECE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93" name="ZoneTexte 92">
            <a:extLst>
              <a:ext uri="{FF2B5EF4-FFF2-40B4-BE49-F238E27FC236}">
                <a16:creationId xmlns:a16="http://schemas.microsoft.com/office/drawing/2014/main" id="{3E1BB9B0-D088-47B5-974E-0D3266471EE9}"/>
              </a:ext>
            </a:extLst>
          </xdr:cNvPr>
          <xdr:cNvSpPr txBox="1"/>
        </xdr:nvSpPr>
        <xdr:spPr>
          <a:xfrm>
            <a:off x="95249" y="1799021"/>
            <a:ext cx="2653393" cy="884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12</xdr:col>
      <xdr:colOff>67236</xdr:colOff>
      <xdr:row>45</xdr:row>
      <xdr:rowOff>112059</xdr:rowOff>
    </xdr:from>
    <xdr:to>
      <xdr:col>13</xdr:col>
      <xdr:colOff>952500</xdr:colOff>
      <xdr:row>54</xdr:row>
      <xdr:rowOff>67235</xdr:rowOff>
    </xdr:to>
    <xdr:grpSp>
      <xdr:nvGrpSpPr>
        <xdr:cNvPr id="21" name="Groupe 20">
          <a:extLst>
            <a:ext uri="{FF2B5EF4-FFF2-40B4-BE49-F238E27FC236}">
              <a16:creationId xmlns:a16="http://schemas.microsoft.com/office/drawing/2014/main" id="{6B4A053B-EC1D-4044-A146-E091FF842AC2}"/>
            </a:ext>
          </a:extLst>
        </xdr:cNvPr>
        <xdr:cNvGrpSpPr/>
      </xdr:nvGrpSpPr>
      <xdr:grpSpPr>
        <a:xfrm>
          <a:off x="16248530" y="13525500"/>
          <a:ext cx="4359088" cy="2084294"/>
          <a:chOff x="16248530" y="13525500"/>
          <a:chExt cx="4359088" cy="2084294"/>
        </a:xfrm>
      </xdr:grpSpPr>
      <xdr:grpSp>
        <xdr:nvGrpSpPr>
          <xdr:cNvPr id="19" name="Groupe 18">
            <a:extLst>
              <a:ext uri="{FF2B5EF4-FFF2-40B4-BE49-F238E27FC236}">
                <a16:creationId xmlns:a16="http://schemas.microsoft.com/office/drawing/2014/main" id="{E0749831-3C2E-4B7E-8531-A9FDC2C41564}"/>
              </a:ext>
            </a:extLst>
          </xdr:cNvPr>
          <xdr:cNvGrpSpPr/>
        </xdr:nvGrpSpPr>
        <xdr:grpSpPr>
          <a:xfrm>
            <a:off x="16248530" y="13917707"/>
            <a:ext cx="4359088" cy="1692087"/>
            <a:chOff x="16248530" y="13917707"/>
            <a:chExt cx="4359088" cy="1692087"/>
          </a:xfrm>
        </xdr:grpSpPr>
        <xdr:sp macro="" textlink="">
          <xdr:nvSpPr>
            <xdr:cNvPr id="94" name="Rectangle : coins arrondis 93">
              <a:extLst>
                <a:ext uri="{FF2B5EF4-FFF2-40B4-BE49-F238E27FC236}">
                  <a16:creationId xmlns:a16="http://schemas.microsoft.com/office/drawing/2014/main" id="{ED126BE4-57C6-4C37-8157-1200A2802E00}"/>
                </a:ext>
              </a:extLst>
            </xdr:cNvPr>
            <xdr:cNvSpPr/>
          </xdr:nvSpPr>
          <xdr:spPr>
            <a:xfrm>
              <a:off x="16595912" y="14321118"/>
              <a:ext cx="4011706" cy="1288676"/>
            </a:xfrm>
            <a:prstGeom prst="roundRect">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0">
                  <a:solidFill>
                    <a:schemeClr val="lt1"/>
                  </a:solidFill>
                  <a:effectLst/>
                  <a:latin typeface="Book Antiqua" panose="02040602050305030304" pitchFamily="18" charset="0"/>
                  <a:ea typeface="+mn-ea"/>
                  <a:cs typeface="+mn-cs"/>
                </a:rPr>
                <a:t>Si utilisation de la jauge carburant «</a:t>
              </a:r>
              <a:r>
                <a:rPr lang="fr-FR" sz="1400" b="0" i="1">
                  <a:solidFill>
                    <a:schemeClr val="lt1"/>
                  </a:solidFill>
                  <a:effectLst/>
                  <a:latin typeface="Book Antiqua" panose="02040602050305030304" pitchFamily="18" charset="0"/>
                  <a:ea typeface="+mn-ea"/>
                  <a:cs typeface="+mn-cs"/>
                </a:rPr>
                <a:t> FuelHawk C152/12 Gal</a:t>
              </a:r>
              <a:r>
                <a:rPr lang="fr-FR" sz="1400" b="0">
                  <a:solidFill>
                    <a:schemeClr val="lt1"/>
                  </a:solidFill>
                  <a:effectLst/>
                  <a:latin typeface="Book Antiqua" panose="02040602050305030304" pitchFamily="18" charset="0"/>
                  <a:ea typeface="+mn-ea"/>
                  <a:cs typeface="+mn-cs"/>
                </a:rPr>
                <a:t> », la quantité lue correspond à la </a:t>
              </a:r>
              <a:r>
                <a:rPr lang="fr-FR" sz="1400" b="0" u="sng">
                  <a:solidFill>
                    <a:schemeClr val="lt1"/>
                  </a:solidFill>
                  <a:effectLst/>
                  <a:latin typeface="Book Antiqua" panose="02040602050305030304" pitchFamily="18" charset="0"/>
                  <a:ea typeface="+mn-ea"/>
                  <a:cs typeface="+mn-cs"/>
                </a:rPr>
                <a:t>quantité utilisable</a:t>
              </a:r>
              <a:r>
                <a:rPr lang="fr-FR" sz="1400" b="0">
                  <a:solidFill>
                    <a:schemeClr val="lt1"/>
                  </a:solidFill>
                  <a:effectLst/>
                  <a:latin typeface="Book Antiqua" panose="02040602050305030304" pitchFamily="18" charset="0"/>
                  <a:ea typeface="+mn-ea"/>
                  <a:cs typeface="+mn-cs"/>
                </a:rPr>
                <a:t> – gallons usable.</a:t>
              </a:r>
            </a:p>
          </xdr:txBody>
        </xdr:sp>
        <xdr:pic>
          <xdr:nvPicPr>
            <xdr:cNvPr id="96" name="Image 95">
              <a:extLst>
                <a:ext uri="{FF2B5EF4-FFF2-40B4-BE49-F238E27FC236}">
                  <a16:creationId xmlns:a16="http://schemas.microsoft.com/office/drawing/2014/main" id="{3D8B3B8F-D2E5-4C13-AC22-29F8C80DFD5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248530" y="13917707"/>
              <a:ext cx="764852" cy="788503"/>
            </a:xfrm>
            <a:prstGeom prst="rect">
              <a:avLst/>
            </a:prstGeom>
          </xdr:spPr>
        </xdr:pic>
      </xdr:grpSp>
      <xdr:sp macro="" textlink="">
        <xdr:nvSpPr>
          <xdr:cNvPr id="20" name="Flèche : bas 19">
            <a:extLst>
              <a:ext uri="{FF2B5EF4-FFF2-40B4-BE49-F238E27FC236}">
                <a16:creationId xmlns:a16="http://schemas.microsoft.com/office/drawing/2014/main" id="{E32BEE8F-F3F9-4AFF-B320-A4D2C2F74386}"/>
              </a:ext>
            </a:extLst>
          </xdr:cNvPr>
          <xdr:cNvSpPr/>
        </xdr:nvSpPr>
        <xdr:spPr>
          <a:xfrm>
            <a:off x="17167412" y="13525500"/>
            <a:ext cx="694764" cy="750794"/>
          </a:xfrm>
          <a:prstGeom prst="downArrow">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400" b="0">
              <a:solidFill>
                <a:schemeClr val="lt1"/>
              </a:solidFill>
              <a:effectLst/>
              <a:latin typeface="Book Antiqua" panose="02040602050305030304" pitchFamily="18" charset="0"/>
              <a:ea typeface="+mn-ea"/>
              <a:cs typeface="+mn-cs"/>
            </a:endParaRPr>
          </a:p>
        </xdr:txBody>
      </xdr:sp>
    </xdr:grpSp>
    <xdr:clientData fPrintsWithSheet="0"/>
  </xdr:twoCellAnchor>
</xdr:wsDr>
</file>

<file path=xl/drawings/drawing7.xml><?xml version="1.0" encoding="utf-8"?>
<c:userShapes xmlns:c="http://schemas.openxmlformats.org/drawingml/2006/chart">
  <cdr:relSizeAnchor xmlns:cdr="http://schemas.openxmlformats.org/drawingml/2006/chartDrawing">
    <cdr:from>
      <cdr:x>0.10675</cdr:x>
      <cdr:y>0.00791</cdr:y>
    </cdr:from>
    <cdr:to>
      <cdr:x>0.96428</cdr:x>
      <cdr:y>0.06112</cdr:y>
    </cdr:to>
    <cdr:sp macro="" textlink="">
      <cdr:nvSpPr>
        <cdr:cNvPr id="8193" name="Text Box 1"/>
        <cdr:cNvSpPr txBox="1">
          <a:spLocks xmlns:a="http://schemas.openxmlformats.org/drawingml/2006/main" noChangeArrowheads="1"/>
        </cdr:cNvSpPr>
      </cdr:nvSpPr>
      <cdr:spPr bwMode="auto">
        <a:xfrm xmlns:a="http://schemas.openxmlformats.org/drawingml/2006/main">
          <a:off x="645583" y="41145"/>
          <a:ext cx="5185834" cy="276791"/>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MOMENT - C152 - F-GHLU</a:t>
          </a:r>
        </a:p>
      </cdr:txBody>
    </cdr:sp>
  </cdr:relSizeAnchor>
</c:userShapes>
</file>

<file path=xl/drawings/drawing8.xml><?xml version="1.0" encoding="utf-8"?>
<c:userShapes xmlns:c="http://schemas.openxmlformats.org/drawingml/2006/chart">
  <cdr:relSizeAnchor xmlns:cdr="http://schemas.openxmlformats.org/drawingml/2006/chartDrawing">
    <cdr:from>
      <cdr:x>0.03866</cdr:x>
      <cdr:y>0.00649</cdr:y>
    </cdr:from>
    <cdr:to>
      <cdr:x>0.89104</cdr:x>
      <cdr:y>0.06723</cdr:y>
    </cdr:to>
    <cdr:sp macro="" textlink="">
      <cdr:nvSpPr>
        <cdr:cNvPr id="8193" name="Text Box 1"/>
        <cdr:cNvSpPr txBox="1">
          <a:spLocks xmlns:a="http://schemas.openxmlformats.org/drawingml/2006/main" noChangeArrowheads="1"/>
        </cdr:cNvSpPr>
      </cdr:nvSpPr>
      <cdr:spPr bwMode="auto">
        <a:xfrm xmlns:a="http://schemas.openxmlformats.org/drawingml/2006/main">
          <a:off x="232833" y="33758"/>
          <a:ext cx="5132917" cy="315927"/>
        </a:xfrm>
        <a:prstGeom xmlns:a="http://schemas.openxmlformats.org/drawingml/2006/main" prst="rect">
          <a:avLst/>
        </a:prstGeom>
        <a:solidFill xmlns:a="http://schemas.openxmlformats.org/drawingml/2006/main">
          <a:schemeClr val="tx1"/>
        </a:solidFill>
        <a:ln xmlns:a="http://schemas.openxmlformats.org/drawingml/2006/main" w="38100" cmpd="dbl">
          <a:solidFill>
            <a:srgbClr val="002060"/>
          </a:solidFill>
          <a:miter lim="800000"/>
          <a:headEnd/>
          <a:tailEnd/>
        </a:ln>
      </cdr:spPr>
      <cdr:txBody>
        <a:bodyPr xmlns:a="http://schemas.openxmlformats.org/drawingml/2006/main" vertOverflow="clip" wrap="square" lIns="36576" tIns="32004" rIns="36576" bIns="32004" anchor="ctr" upright="1"/>
        <a:lstStyle xmlns:a="http://schemas.openxmlformats.org/drawingml/2006/main"/>
        <a:p xmlns:a="http://schemas.openxmlformats.org/drawingml/2006/main">
          <a:pPr algn="ctr" rtl="0">
            <a:defRPr sz="1000"/>
          </a:pPr>
          <a:r>
            <a:rPr lang="fr-FR" sz="1625" b="1" i="0" u="none" strike="noStrike" baseline="0">
              <a:solidFill>
                <a:srgbClr val="FFFFFF"/>
              </a:solidFill>
              <a:latin typeface="Arial"/>
              <a:cs typeface="Arial"/>
            </a:rPr>
            <a:t>CALCUL MASSE / BRAS DE LEVIER</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124370</xdr:colOff>
      <xdr:row>28</xdr:row>
      <xdr:rowOff>110238</xdr:rowOff>
    </xdr:from>
    <xdr:to>
      <xdr:col>6</xdr:col>
      <xdr:colOff>228276</xdr:colOff>
      <xdr:row>53</xdr:row>
      <xdr:rowOff>243052</xdr:rowOff>
    </xdr:to>
    <xdr:graphicFrame macro="">
      <xdr:nvGraphicFramePr>
        <xdr:cNvPr id="2" name="Chart 1">
          <a:extLst>
            <a:ext uri="{FF2B5EF4-FFF2-40B4-BE49-F238E27FC236}">
              <a16:creationId xmlns:a16="http://schemas.microsoft.com/office/drawing/2014/main" id="{6E1C082C-DA0A-457E-8BC0-930502D23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1154795</xdr:colOff>
      <xdr:row>23</xdr:row>
      <xdr:rowOff>103738</xdr:rowOff>
    </xdr:from>
    <xdr:to>
      <xdr:col>5</xdr:col>
      <xdr:colOff>114529</xdr:colOff>
      <xdr:row>28</xdr:row>
      <xdr:rowOff>76975</xdr:rowOff>
    </xdr:to>
    <xdr:pic>
      <xdr:nvPicPr>
        <xdr:cNvPr id="4" name="Image 3">
          <a:extLst>
            <a:ext uri="{FF2B5EF4-FFF2-40B4-BE49-F238E27FC236}">
              <a16:creationId xmlns:a16="http://schemas.microsoft.com/office/drawing/2014/main" id="{D4756B2B-ECE8-4F52-84AF-BE12ABB835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2295" y="7723738"/>
          <a:ext cx="4174672" cy="1521050"/>
        </a:xfrm>
        <a:prstGeom prst="rect">
          <a:avLst/>
        </a:prstGeom>
      </xdr:spPr>
    </xdr:pic>
    <xdr:clientData/>
  </xdr:twoCellAnchor>
  <xdr:twoCellAnchor editAs="absolute">
    <xdr:from>
      <xdr:col>7</xdr:col>
      <xdr:colOff>76792</xdr:colOff>
      <xdr:row>28</xdr:row>
      <xdr:rowOff>110238</xdr:rowOff>
    </xdr:from>
    <xdr:to>
      <xdr:col>11</xdr:col>
      <xdr:colOff>158286</xdr:colOff>
      <xdr:row>54</xdr:row>
      <xdr:rowOff>0</xdr:rowOff>
    </xdr:to>
    <xdr:graphicFrame macro="">
      <xdr:nvGraphicFramePr>
        <xdr:cNvPr id="5" name="Chart 1">
          <a:extLst>
            <a:ext uri="{FF2B5EF4-FFF2-40B4-BE49-F238E27FC236}">
              <a16:creationId xmlns:a16="http://schemas.microsoft.com/office/drawing/2014/main" id="{93477599-4550-4CC6-9462-37ADDE16B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222251</xdr:colOff>
      <xdr:row>16</xdr:row>
      <xdr:rowOff>10583</xdr:rowOff>
    </xdr:from>
    <xdr:to>
      <xdr:col>2</xdr:col>
      <xdr:colOff>592668</xdr:colOff>
      <xdr:row>17</xdr:row>
      <xdr:rowOff>243417</xdr:rowOff>
    </xdr:to>
    <xdr:sp macro="" textlink="$D$24">
      <xdr:nvSpPr>
        <xdr:cNvPr id="6" name="Rectangle : coins arrondis 5">
          <a:extLst>
            <a:ext uri="{FF2B5EF4-FFF2-40B4-BE49-F238E27FC236}">
              <a16:creationId xmlns:a16="http://schemas.microsoft.com/office/drawing/2014/main" id="{D31B1F57-370E-4067-AEC7-B877D743FA49}"/>
            </a:ext>
          </a:extLst>
        </xdr:cNvPr>
        <xdr:cNvSpPr/>
      </xdr:nvSpPr>
      <xdr:spPr>
        <a:xfrm>
          <a:off x="222251" y="5894916"/>
          <a:ext cx="2434167" cy="550334"/>
        </a:xfrm>
        <a:prstGeom prst="roundRect">
          <a:avLst/>
        </a:prstGeom>
        <a:gradFill flip="none" rotWithShape="1">
          <a:gsLst>
            <a:gs pos="0">
              <a:schemeClr val="tx1"/>
            </a:gs>
            <a:gs pos="48000">
              <a:schemeClr val="tx1"/>
            </a:gs>
            <a:gs pos="100000">
              <a:schemeClr val="bg2">
                <a:lumMod val="50000"/>
              </a:schemeClr>
            </a:gs>
          </a:gsLst>
          <a:lin ang="16200000" scaled="1"/>
          <a:tileRect/>
        </a:gradFill>
        <a:ln>
          <a:solidFill>
            <a:srgbClr val="002060"/>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bIns="0" rtlCol="0" anchor="b"/>
        <a:lstStyle/>
        <a:p>
          <a:pPr marL="0" indent="0" algn="ctr"/>
          <a:fld id="{FD2FB752-74B9-4A3C-B818-D39A9BDFA04F}" type="TxLink">
            <a:rPr lang="en-US"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rPr>
            <a:pPr marL="0" indent="0" algn="ctr"/>
            <a:t>27 kg</a:t>
          </a:fld>
          <a:endParaRPr lang="fr-FR" sz="1800" b="1" i="0" u="none" strike="noStrike">
            <a:solidFill>
              <a:schemeClr val="bg1"/>
            </a:solidFill>
            <a:effectLst>
              <a:outerShdw blurRad="50800" dist="38100" dir="2700000" algn="tl" rotWithShape="0">
                <a:prstClr val="black">
                  <a:alpha val="40000"/>
                </a:prstClr>
              </a:outerShdw>
            </a:effectLst>
            <a:latin typeface="Book Antiqua"/>
            <a:ea typeface="+mn-ea"/>
            <a:cs typeface="+mn-cs"/>
          </a:endParaRPr>
        </a:p>
      </xdr:txBody>
    </xdr:sp>
    <xdr:clientData/>
  </xdr:twoCellAnchor>
  <xdr:twoCellAnchor>
    <xdr:from>
      <xdr:col>1</xdr:col>
      <xdr:colOff>0</xdr:colOff>
      <xdr:row>16</xdr:row>
      <xdr:rowOff>0</xdr:rowOff>
    </xdr:from>
    <xdr:to>
      <xdr:col>2</xdr:col>
      <xdr:colOff>814917</xdr:colOff>
      <xdr:row>16</xdr:row>
      <xdr:rowOff>264588</xdr:rowOff>
    </xdr:to>
    <xdr:sp macro="" textlink="">
      <xdr:nvSpPr>
        <xdr:cNvPr id="7" name="ZoneTexte 6">
          <a:extLst>
            <a:ext uri="{FF2B5EF4-FFF2-40B4-BE49-F238E27FC236}">
              <a16:creationId xmlns:a16="http://schemas.microsoft.com/office/drawing/2014/main" id="{D7F1A1F8-E117-4DB6-86D6-FF2B9912D664}"/>
            </a:ext>
          </a:extLst>
        </xdr:cNvPr>
        <xdr:cNvSpPr txBox="1"/>
      </xdr:nvSpPr>
      <xdr:spPr>
        <a:xfrm>
          <a:off x="0" y="5884333"/>
          <a:ext cx="2878667" cy="264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u="none">
              <a:solidFill>
                <a:schemeClr val="bg1"/>
              </a:solidFill>
              <a:effectLst>
                <a:outerShdw blurRad="50800" dist="38100" dir="2700000" algn="tl" rotWithShape="0">
                  <a:prstClr val="black">
                    <a:alpha val="40000"/>
                  </a:prstClr>
                </a:outerShdw>
              </a:effectLst>
              <a:latin typeface="Book Antiqua" panose="02040602050305030304" pitchFamily="18" charset="0"/>
            </a:rPr>
            <a:t>Capacité d'emport restante</a:t>
          </a:r>
        </a:p>
      </xdr:txBody>
    </xdr:sp>
    <xdr:clientData/>
  </xdr:twoCellAnchor>
  <xdr:twoCellAnchor>
    <xdr:from>
      <xdr:col>1</xdr:col>
      <xdr:colOff>1031814</xdr:colOff>
      <xdr:row>31</xdr:row>
      <xdr:rowOff>140434</xdr:rowOff>
    </xdr:from>
    <xdr:to>
      <xdr:col>2</xdr:col>
      <xdr:colOff>1055257</xdr:colOff>
      <xdr:row>34</xdr:row>
      <xdr:rowOff>24823</xdr:rowOff>
    </xdr:to>
    <xdr:grpSp>
      <xdr:nvGrpSpPr>
        <xdr:cNvPr id="8" name="Groupe 7">
          <a:extLst>
            <a:ext uri="{FF2B5EF4-FFF2-40B4-BE49-F238E27FC236}">
              <a16:creationId xmlns:a16="http://schemas.microsoft.com/office/drawing/2014/main" id="{DB8F4174-E060-4C88-8940-A166CBAB4368}"/>
            </a:ext>
          </a:extLst>
        </xdr:cNvPr>
        <xdr:cNvGrpSpPr/>
      </xdr:nvGrpSpPr>
      <xdr:grpSpPr>
        <a:xfrm>
          <a:off x="3878108" y="10360199"/>
          <a:ext cx="2075800" cy="825683"/>
          <a:chOff x="0" y="0"/>
          <a:chExt cx="2083728" cy="819329"/>
        </a:xfrm>
      </xdr:grpSpPr>
      <xdr:sp macro="" textlink="">
        <xdr:nvSpPr>
          <xdr:cNvPr id="9" name="Rectangle 8">
            <a:extLst>
              <a:ext uri="{FF2B5EF4-FFF2-40B4-BE49-F238E27FC236}">
                <a16:creationId xmlns:a16="http://schemas.microsoft.com/office/drawing/2014/main" id="{B3F278E4-C7ED-4F61-946E-0BA2B8F91169}"/>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10" name="Rectangle 9">
            <a:extLst>
              <a:ext uri="{FF2B5EF4-FFF2-40B4-BE49-F238E27FC236}">
                <a16:creationId xmlns:a16="http://schemas.microsoft.com/office/drawing/2014/main" id="{7082AC3E-8A74-4FE8-84A1-51D8EE45EAA4}"/>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11" name="Rectangle 10">
            <a:extLst>
              <a:ext uri="{FF2B5EF4-FFF2-40B4-BE49-F238E27FC236}">
                <a16:creationId xmlns:a16="http://schemas.microsoft.com/office/drawing/2014/main" id="{666578E2-E6F8-4CCB-B37E-EB6B28144B8B}"/>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2</xdr:col>
      <xdr:colOff>549728</xdr:colOff>
      <xdr:row>8</xdr:row>
      <xdr:rowOff>232147</xdr:rowOff>
    </xdr:from>
    <xdr:to>
      <xdr:col>2</xdr:col>
      <xdr:colOff>1039585</xdr:colOff>
      <xdr:row>10</xdr:row>
      <xdr:rowOff>93211</xdr:rowOff>
    </xdr:to>
    <xdr:sp macro="" textlink="">
      <xdr:nvSpPr>
        <xdr:cNvPr id="12" name="Ellipse 11">
          <a:extLst>
            <a:ext uri="{FF2B5EF4-FFF2-40B4-BE49-F238E27FC236}">
              <a16:creationId xmlns:a16="http://schemas.microsoft.com/office/drawing/2014/main" id="{25AACE24-73AD-454D-BBFC-B41773AE0F7B}"/>
            </a:ext>
          </a:extLst>
        </xdr:cNvPr>
        <xdr:cNvSpPr/>
      </xdr:nvSpPr>
      <xdr:spPr>
        <a:xfrm>
          <a:off x="2618014" y="3252933"/>
          <a:ext cx="489857" cy="492435"/>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clientData/>
  </xdr:twoCellAnchor>
  <xdr:twoCellAnchor>
    <xdr:from>
      <xdr:col>12</xdr:col>
      <xdr:colOff>4146</xdr:colOff>
      <xdr:row>7</xdr:row>
      <xdr:rowOff>71653</xdr:rowOff>
    </xdr:from>
    <xdr:to>
      <xdr:col>12</xdr:col>
      <xdr:colOff>494003</xdr:colOff>
      <xdr:row>8</xdr:row>
      <xdr:rowOff>245144</xdr:rowOff>
    </xdr:to>
    <xdr:sp macro="" textlink="">
      <xdr:nvSpPr>
        <xdr:cNvPr id="13" name="Ellipse 12">
          <a:extLst>
            <a:ext uri="{FF2B5EF4-FFF2-40B4-BE49-F238E27FC236}">
              <a16:creationId xmlns:a16="http://schemas.microsoft.com/office/drawing/2014/main" id="{E1F85592-2763-4856-8535-B5B2C15A0E17}"/>
            </a:ext>
          </a:extLst>
        </xdr:cNvPr>
        <xdr:cNvSpPr/>
      </xdr:nvSpPr>
      <xdr:spPr>
        <a:xfrm>
          <a:off x="13322817" y="2776753"/>
          <a:ext cx="489857" cy="48917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clientData/>
  </xdr:twoCellAnchor>
  <xdr:twoCellAnchor>
    <xdr:from>
      <xdr:col>7</xdr:col>
      <xdr:colOff>13261</xdr:colOff>
      <xdr:row>6</xdr:row>
      <xdr:rowOff>73988</xdr:rowOff>
    </xdr:from>
    <xdr:to>
      <xdr:col>7</xdr:col>
      <xdr:colOff>503118</xdr:colOff>
      <xdr:row>7</xdr:row>
      <xdr:rowOff>250881</xdr:rowOff>
    </xdr:to>
    <xdr:sp macro="" textlink="">
      <xdr:nvSpPr>
        <xdr:cNvPr id="14" name="Ellipse 13">
          <a:extLst>
            <a:ext uri="{FF2B5EF4-FFF2-40B4-BE49-F238E27FC236}">
              <a16:creationId xmlns:a16="http://schemas.microsoft.com/office/drawing/2014/main" id="{3EB3CB15-4920-437B-A630-D325E4855C22}"/>
            </a:ext>
          </a:extLst>
        </xdr:cNvPr>
        <xdr:cNvSpPr/>
      </xdr:nvSpPr>
      <xdr:spPr>
        <a:xfrm>
          <a:off x="6650995" y="2461191"/>
          <a:ext cx="489857" cy="492409"/>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clientData/>
  </xdr:twoCellAnchor>
  <xdr:twoCellAnchor>
    <xdr:from>
      <xdr:col>12</xdr:col>
      <xdr:colOff>5252</xdr:colOff>
      <xdr:row>17</xdr:row>
      <xdr:rowOff>228036</xdr:rowOff>
    </xdr:from>
    <xdr:to>
      <xdr:col>12</xdr:col>
      <xdr:colOff>510621</xdr:colOff>
      <xdr:row>19</xdr:row>
      <xdr:rowOff>95366</xdr:rowOff>
    </xdr:to>
    <xdr:sp macro="" textlink="">
      <xdr:nvSpPr>
        <xdr:cNvPr id="15" name="Ellipse 14">
          <a:extLst>
            <a:ext uri="{FF2B5EF4-FFF2-40B4-BE49-F238E27FC236}">
              <a16:creationId xmlns:a16="http://schemas.microsoft.com/office/drawing/2014/main" id="{FE9E8365-DC24-44E8-84CE-48CD32F7E592}"/>
            </a:ext>
          </a:extLst>
        </xdr:cNvPr>
        <xdr:cNvSpPr/>
      </xdr:nvSpPr>
      <xdr:spPr>
        <a:xfrm>
          <a:off x="13298580" y="6085911"/>
          <a:ext cx="505369" cy="49836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clientData/>
  </xdr:twoCellAnchor>
  <xdr:twoCellAnchor>
    <xdr:from>
      <xdr:col>1</xdr:col>
      <xdr:colOff>0</xdr:colOff>
      <xdr:row>0</xdr:row>
      <xdr:rowOff>54428</xdr:rowOff>
    </xdr:from>
    <xdr:to>
      <xdr:col>2</xdr:col>
      <xdr:colOff>609250</xdr:colOff>
      <xdr:row>0</xdr:row>
      <xdr:rowOff>571499</xdr:rowOff>
    </xdr:to>
    <xdr:grpSp>
      <xdr:nvGrpSpPr>
        <xdr:cNvPr id="16" name="Groupe 15">
          <a:extLst>
            <a:ext uri="{FF2B5EF4-FFF2-40B4-BE49-F238E27FC236}">
              <a16:creationId xmlns:a16="http://schemas.microsoft.com/office/drawing/2014/main" id="{CAD8B65C-E896-40E1-B778-51B28A7BB2C3}"/>
            </a:ext>
          </a:extLst>
        </xdr:cNvPr>
        <xdr:cNvGrpSpPr/>
      </xdr:nvGrpSpPr>
      <xdr:grpSpPr>
        <a:xfrm>
          <a:off x="2846294" y="54428"/>
          <a:ext cx="2671132" cy="517071"/>
          <a:chOff x="1156608" y="20411"/>
          <a:chExt cx="2677536" cy="517071"/>
        </a:xfrm>
      </xdr:grpSpPr>
      <xdr:sp macro="" textlink="">
        <xdr:nvSpPr>
          <xdr:cNvPr id="17" name="Ellipse 16">
            <a:extLst>
              <a:ext uri="{FF2B5EF4-FFF2-40B4-BE49-F238E27FC236}">
                <a16:creationId xmlns:a16="http://schemas.microsoft.com/office/drawing/2014/main" id="{136C0B51-11CC-47CA-9141-5270E69DAF5D}"/>
              </a:ext>
            </a:extLst>
          </xdr:cNvPr>
          <xdr:cNvSpPr/>
        </xdr:nvSpPr>
        <xdr:spPr>
          <a:xfrm>
            <a:off x="2514569" y="30914"/>
            <a:ext cx="489857" cy="496064"/>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18" name="Ellipse 17">
            <a:extLst>
              <a:ext uri="{FF2B5EF4-FFF2-40B4-BE49-F238E27FC236}">
                <a16:creationId xmlns:a16="http://schemas.microsoft.com/office/drawing/2014/main" id="{A1035B6E-378C-44EF-996F-EFF857E0875E}"/>
              </a:ext>
            </a:extLst>
          </xdr:cNvPr>
          <xdr:cNvSpPr/>
        </xdr:nvSpPr>
        <xdr:spPr>
          <a:xfrm>
            <a:off x="3325491" y="27780"/>
            <a:ext cx="508653" cy="502332"/>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19" name="ZoneTexte 18">
            <a:extLst>
              <a:ext uri="{FF2B5EF4-FFF2-40B4-BE49-F238E27FC236}">
                <a16:creationId xmlns:a16="http://schemas.microsoft.com/office/drawing/2014/main" id="{131AC2C8-A8DA-44D2-A147-D2189EBCFDDC}"/>
              </a:ext>
            </a:extLst>
          </xdr:cNvPr>
          <xdr:cNvSpPr txBox="1"/>
        </xdr:nvSpPr>
        <xdr:spPr>
          <a:xfrm>
            <a:off x="1156608" y="20411"/>
            <a:ext cx="1455964"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Compléter</a:t>
            </a:r>
            <a:endParaRPr lang="fr-FR" sz="1100">
              <a:solidFill>
                <a:schemeClr val="bg1"/>
              </a:solidFill>
              <a:latin typeface="Book Antiqua" panose="02040602050305030304" pitchFamily="18" charset="0"/>
            </a:endParaRPr>
          </a:p>
        </xdr:txBody>
      </xdr:sp>
      <xdr:sp macro="" textlink="">
        <xdr:nvSpPr>
          <xdr:cNvPr id="20" name="ZoneTexte 19">
            <a:extLst>
              <a:ext uri="{FF2B5EF4-FFF2-40B4-BE49-F238E27FC236}">
                <a16:creationId xmlns:a16="http://schemas.microsoft.com/office/drawing/2014/main" id="{199A41FA-5D6B-4CC9-BA9C-6E0B16B56FED}"/>
              </a:ext>
            </a:extLst>
          </xdr:cNvPr>
          <xdr:cNvSpPr txBox="1"/>
        </xdr:nvSpPr>
        <xdr:spPr>
          <a:xfrm>
            <a:off x="2906423" y="20411"/>
            <a:ext cx="517071"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800">
                <a:solidFill>
                  <a:schemeClr val="bg1"/>
                </a:solidFill>
                <a:latin typeface="Book Antiqua" panose="02040602050305030304" pitchFamily="18" charset="0"/>
              </a:rPr>
              <a:t>à</a:t>
            </a:r>
            <a:endParaRPr lang="fr-FR" sz="1100">
              <a:solidFill>
                <a:schemeClr val="bg1"/>
              </a:solidFill>
              <a:latin typeface="Book Antiqua" panose="02040602050305030304" pitchFamily="18" charset="0"/>
            </a:endParaRPr>
          </a:p>
        </xdr:txBody>
      </xdr:sp>
    </xdr:grpSp>
    <xdr:clientData/>
  </xdr:twoCellAnchor>
  <xdr:twoCellAnchor>
    <xdr:from>
      <xdr:col>12</xdr:col>
      <xdr:colOff>6803</xdr:colOff>
      <xdr:row>27</xdr:row>
      <xdr:rowOff>245609</xdr:rowOff>
    </xdr:from>
    <xdr:to>
      <xdr:col>17</xdr:col>
      <xdr:colOff>40628</xdr:colOff>
      <xdr:row>45</xdr:row>
      <xdr:rowOff>49296</xdr:rowOff>
    </xdr:to>
    <xdr:grpSp>
      <xdr:nvGrpSpPr>
        <xdr:cNvPr id="22" name="Groupe 21">
          <a:extLst>
            <a:ext uri="{FF2B5EF4-FFF2-40B4-BE49-F238E27FC236}">
              <a16:creationId xmlns:a16="http://schemas.microsoft.com/office/drawing/2014/main" id="{1AB202FD-E315-4689-BFFE-3F590CF5F853}"/>
            </a:ext>
          </a:extLst>
        </xdr:cNvPr>
        <xdr:cNvGrpSpPr/>
      </xdr:nvGrpSpPr>
      <xdr:grpSpPr>
        <a:xfrm>
          <a:off x="16188097" y="9210315"/>
          <a:ext cx="4942002" cy="4588599"/>
          <a:chOff x="18560143" y="6844393"/>
          <a:chExt cx="5319226" cy="5031441"/>
        </a:xfrm>
      </xdr:grpSpPr>
      <xdr:sp macro="" textlink="">
        <xdr:nvSpPr>
          <xdr:cNvPr id="70" name="Rectangle : coins arrondis 69">
            <a:extLst>
              <a:ext uri="{FF2B5EF4-FFF2-40B4-BE49-F238E27FC236}">
                <a16:creationId xmlns:a16="http://schemas.microsoft.com/office/drawing/2014/main" id="{1B9AD793-9F27-454C-84E2-EFC0C1C4805F}"/>
              </a:ext>
            </a:extLst>
          </xdr:cNvPr>
          <xdr:cNvSpPr/>
        </xdr:nvSpPr>
        <xdr:spPr>
          <a:xfrm>
            <a:off x="18560143" y="6844393"/>
            <a:ext cx="4818529" cy="5031441"/>
          </a:xfrm>
          <a:prstGeom prst="roundRect">
            <a:avLst>
              <a:gd name="adj" fmla="val 6298"/>
            </a:avLst>
          </a:prstGeom>
          <a:solidFill>
            <a:schemeClr val="bg1"/>
          </a:solidFill>
          <a:ln w="571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aphicFrame macro="">
        <xdr:nvGraphicFramePr>
          <xdr:cNvPr id="72" name="Graphique 71">
            <a:extLst>
              <a:ext uri="{FF2B5EF4-FFF2-40B4-BE49-F238E27FC236}">
                <a16:creationId xmlns:a16="http://schemas.microsoft.com/office/drawing/2014/main" id="{163F8584-4AC2-42D1-8ECA-BD9CC8EB8535}"/>
              </a:ext>
            </a:extLst>
          </xdr:cNvPr>
          <xdr:cNvGraphicFramePr/>
        </xdr:nvGraphicFramePr>
        <xdr:xfrm>
          <a:off x="19387616" y="6975698"/>
          <a:ext cx="2783228" cy="4191483"/>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3" name="Graphique 72">
            <a:extLst>
              <a:ext uri="{FF2B5EF4-FFF2-40B4-BE49-F238E27FC236}">
                <a16:creationId xmlns:a16="http://schemas.microsoft.com/office/drawing/2014/main" id="{B68DB63E-272A-4421-96FF-9817665A865A}"/>
              </a:ext>
            </a:extLst>
          </xdr:cNvPr>
          <xdr:cNvGraphicFramePr/>
        </xdr:nvGraphicFramePr>
        <xdr:xfrm>
          <a:off x="21090951" y="6908927"/>
          <a:ext cx="2788418" cy="4193260"/>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74" name="Groupe 73">
            <a:extLst>
              <a:ext uri="{FF2B5EF4-FFF2-40B4-BE49-F238E27FC236}">
                <a16:creationId xmlns:a16="http://schemas.microsoft.com/office/drawing/2014/main" id="{7A6E1F1F-7B8F-4136-BA6D-F83B366704B6}"/>
              </a:ext>
            </a:extLst>
          </xdr:cNvPr>
          <xdr:cNvGrpSpPr/>
        </xdr:nvGrpSpPr>
        <xdr:grpSpPr>
          <a:xfrm>
            <a:off x="20286449" y="10720710"/>
            <a:ext cx="2582801" cy="785329"/>
            <a:chOff x="20540874" y="13124387"/>
            <a:chExt cx="2592456" cy="779498"/>
          </a:xfrm>
        </xdr:grpSpPr>
        <xdr:sp macro="" textlink="$J$6">
          <xdr:nvSpPr>
            <xdr:cNvPr id="88" name="Rectangle : coins arrondis 87">
              <a:extLst>
                <a:ext uri="{FF2B5EF4-FFF2-40B4-BE49-F238E27FC236}">
                  <a16:creationId xmlns:a16="http://schemas.microsoft.com/office/drawing/2014/main" id="{63A5F6DA-EFA8-4F8F-9DAD-6E7FD9FE30D7}"/>
                </a:ext>
              </a:extLst>
            </xdr:cNvPr>
            <xdr:cNvSpPr/>
          </xdr:nvSpPr>
          <xdr:spPr>
            <a:xfrm>
              <a:off x="20569863" y="13498881"/>
              <a:ext cx="2534478" cy="405004"/>
            </a:xfrm>
            <a:prstGeom prst="roundRect">
              <a:avLst>
                <a:gd name="adj" fmla="val 50000"/>
              </a:avLst>
            </a:prstGeom>
            <a:solidFill>
              <a:srgbClr val="002060"/>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FE3A41-7694-4299-A980-938D56B6D79E}" type="TxLink">
                <a:rPr lang="en-US" sz="1600" b="1" i="0" u="none" strike="noStrike">
                  <a:solidFill>
                    <a:schemeClr val="bg1"/>
                  </a:solidFill>
                  <a:latin typeface="Book Antiqua"/>
                </a:rPr>
                <a:pPr algn="ctr"/>
                <a:t>3 h et 0 mn</a:t>
              </a:fld>
              <a:endParaRPr lang="fr-FR" sz="1600">
                <a:solidFill>
                  <a:schemeClr val="bg1"/>
                </a:solidFill>
              </a:endParaRPr>
            </a:p>
          </xdr:txBody>
        </xdr:sp>
        <xdr:sp macro="" textlink="">
          <xdr:nvSpPr>
            <xdr:cNvPr id="89" name="Rectangle 88">
              <a:extLst>
                <a:ext uri="{FF2B5EF4-FFF2-40B4-BE49-F238E27FC236}">
                  <a16:creationId xmlns:a16="http://schemas.microsoft.com/office/drawing/2014/main" id="{E823092E-5398-4AA4-8FD7-8A805F330B02}"/>
                </a:ext>
              </a:extLst>
            </xdr:cNvPr>
            <xdr:cNvSpPr/>
          </xdr:nvSpPr>
          <xdr:spPr>
            <a:xfrm>
              <a:off x="20540874" y="13124387"/>
              <a:ext cx="2592456"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u="sng">
                  <a:solidFill>
                    <a:srgbClr val="002060"/>
                  </a:solidFill>
                  <a:latin typeface="Book Antiqua" panose="02040602050305030304" pitchFamily="18" charset="0"/>
                </a:rPr>
                <a:t>Autonomie</a:t>
              </a:r>
              <a:r>
                <a:rPr lang="fr-FR" sz="1400" b="1" u="sng" baseline="0">
                  <a:solidFill>
                    <a:srgbClr val="002060"/>
                  </a:solidFill>
                  <a:latin typeface="Book Antiqua" panose="02040602050305030304" pitchFamily="18" charset="0"/>
                </a:rPr>
                <a:t> de vol théorique</a:t>
              </a:r>
              <a:endParaRPr lang="fr-FR" sz="1400" b="1" u="sng">
                <a:solidFill>
                  <a:srgbClr val="002060"/>
                </a:solidFill>
                <a:latin typeface="Book Antiqua" panose="02040602050305030304" pitchFamily="18" charset="0"/>
              </a:endParaRPr>
            </a:p>
          </xdr:txBody>
        </xdr:sp>
      </xdr:grpSp>
      <xdr:grpSp>
        <xdr:nvGrpSpPr>
          <xdr:cNvPr id="75" name="Groupe 74">
            <a:extLst>
              <a:ext uri="{FF2B5EF4-FFF2-40B4-BE49-F238E27FC236}">
                <a16:creationId xmlns:a16="http://schemas.microsoft.com/office/drawing/2014/main" id="{60E34336-276C-466C-9028-F5B68ADE4267}"/>
              </a:ext>
            </a:extLst>
          </xdr:cNvPr>
          <xdr:cNvGrpSpPr/>
        </xdr:nvGrpSpPr>
        <xdr:grpSpPr>
          <a:xfrm>
            <a:off x="18644894" y="7661535"/>
            <a:ext cx="1433637" cy="3850223"/>
            <a:chOff x="21115755" y="9612661"/>
            <a:chExt cx="1446142" cy="3861552"/>
          </a:xfrm>
        </xdr:grpSpPr>
        <xdr:grpSp>
          <xdr:nvGrpSpPr>
            <xdr:cNvPr id="76" name="Groupe 75">
              <a:extLst>
                <a:ext uri="{FF2B5EF4-FFF2-40B4-BE49-F238E27FC236}">
                  <a16:creationId xmlns:a16="http://schemas.microsoft.com/office/drawing/2014/main" id="{708E6331-A213-4D83-81D5-8536B8A30BAC}"/>
                </a:ext>
              </a:extLst>
            </xdr:cNvPr>
            <xdr:cNvGrpSpPr/>
          </xdr:nvGrpSpPr>
          <xdr:grpSpPr>
            <a:xfrm rot="5400000">
              <a:off x="21292935" y="9461362"/>
              <a:ext cx="1063620" cy="1366218"/>
              <a:chOff x="21097375" y="9615841"/>
              <a:chExt cx="1408044" cy="1134646"/>
            </a:xfrm>
          </xdr:grpSpPr>
          <xdr:sp macro="" textlink="Capacité_carburant_Max_03">
            <xdr:nvSpPr>
              <xdr:cNvPr id="86" name="Flèche : pentagone 85">
                <a:extLst>
                  <a:ext uri="{FF2B5EF4-FFF2-40B4-BE49-F238E27FC236}">
                    <a16:creationId xmlns:a16="http://schemas.microsoft.com/office/drawing/2014/main" id="{A0B26B06-78E7-46E0-8CB0-F40F411C0824}"/>
                  </a:ext>
                </a:extLst>
              </xdr:cNvPr>
              <xdr:cNvSpPr/>
            </xdr:nvSpPr>
            <xdr:spPr>
              <a:xfrm>
                <a:off x="21097375" y="9699008"/>
                <a:ext cx="1408044" cy="952572"/>
              </a:xfrm>
              <a:prstGeom prst="homePlate">
                <a:avLst/>
              </a:prstGeom>
              <a:solidFill>
                <a:schemeClr val="accent5">
                  <a:lumMod val="20000"/>
                  <a:lumOff val="8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0F87FFDA-CB05-4C85-89D1-6726300A185C}" type="TxLink">
                  <a:rPr lang="en-US" sz="1400" b="1" i="0" u="none" strike="noStrike">
                    <a:solidFill>
                      <a:srgbClr val="000000"/>
                    </a:solidFill>
                    <a:effectLst/>
                    <a:latin typeface="Book Antiqua"/>
                  </a:rPr>
                  <a:pPr algn="ctr"/>
                  <a:t>120,0 L</a:t>
                </a:fld>
                <a:endParaRPr lang="fr-FR" sz="1400" b="1">
                  <a:solidFill>
                    <a:srgbClr val="002060"/>
                  </a:solidFill>
                  <a:effectLst/>
                </a:endParaRPr>
              </a:p>
            </xdr:txBody>
          </xdr:sp>
          <xdr:sp macro="" textlink="">
            <xdr:nvSpPr>
              <xdr:cNvPr id="87" name="ZoneTexte 86">
                <a:extLst>
                  <a:ext uri="{FF2B5EF4-FFF2-40B4-BE49-F238E27FC236}">
                    <a16:creationId xmlns:a16="http://schemas.microsoft.com/office/drawing/2014/main" id="{EF515D03-27BC-424F-8983-E09E3929D098}"/>
                  </a:ext>
                </a:extLst>
              </xdr:cNvPr>
              <xdr:cNvSpPr txBox="1"/>
            </xdr:nvSpPr>
            <xdr:spPr>
              <a:xfrm rot="16200000">
                <a:off x="20739624" y="10009965"/>
                <a:ext cx="1134646" cy="34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2060"/>
                    </a:solidFill>
                    <a:latin typeface="Book Antiqua" panose="02040602050305030304" pitchFamily="18" charset="0"/>
                  </a:rPr>
                  <a:t>Total Carb.</a:t>
                </a:r>
              </a:p>
            </xdr:txBody>
          </xdr:sp>
        </xdr:grpSp>
        <xdr:grpSp>
          <xdr:nvGrpSpPr>
            <xdr:cNvPr id="77" name="Groupe 76">
              <a:extLst>
                <a:ext uri="{FF2B5EF4-FFF2-40B4-BE49-F238E27FC236}">
                  <a16:creationId xmlns:a16="http://schemas.microsoft.com/office/drawing/2014/main" id="{0B84645D-8B2F-4595-9DB5-F3161C99C510}"/>
                </a:ext>
              </a:extLst>
            </xdr:cNvPr>
            <xdr:cNvGrpSpPr/>
          </xdr:nvGrpSpPr>
          <xdr:grpSpPr>
            <a:xfrm rot="5400000">
              <a:off x="21137289" y="10185154"/>
              <a:ext cx="1408044" cy="1441173"/>
              <a:chOff x="21128934" y="10031614"/>
              <a:chExt cx="1408044" cy="715464"/>
            </a:xfrm>
          </xdr:grpSpPr>
          <xdr:sp macro="" textlink="Carburant_utilisable_03">
            <xdr:nvSpPr>
              <xdr:cNvPr id="84" name="Flèche : chevron 83">
                <a:extLst>
                  <a:ext uri="{FF2B5EF4-FFF2-40B4-BE49-F238E27FC236}">
                    <a16:creationId xmlns:a16="http://schemas.microsoft.com/office/drawing/2014/main" id="{C463167E-F34A-4468-92B3-07E23F689E9C}"/>
                  </a:ext>
                </a:extLst>
              </xdr:cNvPr>
              <xdr:cNvSpPr/>
            </xdr:nvSpPr>
            <xdr:spPr>
              <a:xfrm>
                <a:off x="21128934" y="10113065"/>
                <a:ext cx="1408044" cy="563362"/>
              </a:xfrm>
              <a:prstGeom prst="chevron">
                <a:avLst>
                  <a:gd name="adj" fmla="val 46351"/>
                </a:avLst>
              </a:prstGeom>
              <a:solidFill>
                <a:schemeClr val="accent6">
                  <a:lumMod val="60000"/>
                  <a:lumOff val="40000"/>
                </a:schemeClr>
              </a:solidFill>
              <a:ln>
                <a:solidFill>
                  <a:schemeClr val="accent5">
                    <a:lumMod val="50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350A1CC7-952A-4A18-ADAD-B0734D44CEE1}" type="TxLink">
                  <a:rPr lang="en-US" sz="1400" b="1" i="0" u="none" strike="noStrike">
                    <a:solidFill>
                      <a:srgbClr val="000000"/>
                    </a:solidFill>
                    <a:effectLst/>
                    <a:latin typeface="Book Antiqua"/>
                  </a:rPr>
                  <a:pPr algn="ctr"/>
                  <a:t>109,0 L</a:t>
                </a:fld>
                <a:endParaRPr lang="fr-FR" sz="1400" b="1">
                  <a:solidFill>
                    <a:schemeClr val="accent6">
                      <a:lumMod val="50000"/>
                    </a:schemeClr>
                  </a:solidFill>
                  <a:effectLst/>
                </a:endParaRPr>
              </a:p>
            </xdr:txBody>
          </xdr:sp>
          <xdr:sp macro="" textlink="">
            <xdr:nvSpPr>
              <xdr:cNvPr id="85" name="ZoneTexte 84">
                <a:extLst>
                  <a:ext uri="{FF2B5EF4-FFF2-40B4-BE49-F238E27FC236}">
                    <a16:creationId xmlns:a16="http://schemas.microsoft.com/office/drawing/2014/main" id="{306913B6-0BD1-468E-8482-218684B0D764}"/>
                  </a:ext>
                </a:extLst>
              </xdr:cNvPr>
              <xdr:cNvSpPr txBox="1"/>
            </xdr:nvSpPr>
            <xdr:spPr>
              <a:xfrm rot="16200000">
                <a:off x="21723703"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300">
                    <a:solidFill>
                      <a:schemeClr val="accent6">
                        <a:lumMod val="50000"/>
                      </a:schemeClr>
                    </a:solidFill>
                    <a:latin typeface="Book Antiqua" panose="02040602050305030304" pitchFamily="18" charset="0"/>
                  </a:rPr>
                  <a:t>utilisables</a:t>
                </a:r>
              </a:p>
            </xdr:txBody>
          </xdr:sp>
        </xdr:grpSp>
        <xdr:grpSp>
          <xdr:nvGrpSpPr>
            <xdr:cNvPr id="78" name="Groupe 77">
              <a:extLst>
                <a:ext uri="{FF2B5EF4-FFF2-40B4-BE49-F238E27FC236}">
                  <a16:creationId xmlns:a16="http://schemas.microsoft.com/office/drawing/2014/main" id="{7BB0F2C7-046E-4463-A478-4293B5859003}"/>
                </a:ext>
              </a:extLst>
            </xdr:cNvPr>
            <xdr:cNvGrpSpPr/>
          </xdr:nvGrpSpPr>
          <xdr:grpSpPr>
            <a:xfrm rot="5400000">
              <a:off x="21137289" y="11118637"/>
              <a:ext cx="1408044" cy="1441173"/>
              <a:chOff x="21128934" y="10031614"/>
              <a:chExt cx="1408044" cy="715464"/>
            </a:xfrm>
          </xdr:grpSpPr>
          <xdr:sp macro="" textlink="$S$19">
            <xdr:nvSpPr>
              <xdr:cNvPr id="82" name="Flèche : chevron 81">
                <a:extLst>
                  <a:ext uri="{FF2B5EF4-FFF2-40B4-BE49-F238E27FC236}">
                    <a16:creationId xmlns:a16="http://schemas.microsoft.com/office/drawing/2014/main" id="{D1FB4355-5F0A-4DD9-A5D4-FD735B834E82}"/>
                  </a:ext>
                </a:extLst>
              </xdr:cNvPr>
              <xdr:cNvSpPr/>
            </xdr:nvSpPr>
            <xdr:spPr>
              <a:xfrm>
                <a:off x="21128934" y="10113065"/>
                <a:ext cx="1408044" cy="563362"/>
              </a:xfrm>
              <a:prstGeom prst="chevron">
                <a:avLst>
                  <a:gd name="adj" fmla="val 46351"/>
                </a:avLst>
              </a:prstGeom>
              <a:solidFill>
                <a:srgbClr val="FFCCCC"/>
              </a:solidFill>
              <a:ln>
                <a:solidFill>
                  <a:srgbClr val="C00000"/>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pPr algn="ctr"/>
                <a:fld id="{5086AAE0-A9BC-4F2D-9C45-F13EC4E7AE24}" type="TxLink">
                  <a:rPr lang="en-US" sz="1400" b="1" i="0" u="none" strike="noStrike">
                    <a:solidFill>
                      <a:srgbClr val="C00000"/>
                    </a:solidFill>
                    <a:effectLst/>
                    <a:latin typeface="Book Antiqua"/>
                  </a:rPr>
                  <a:pPr algn="ctr"/>
                  <a:t>11 L</a:t>
                </a:fld>
                <a:endParaRPr lang="fr-FR" sz="1400" b="1">
                  <a:solidFill>
                    <a:srgbClr val="C00000"/>
                  </a:solidFill>
                  <a:effectLst/>
                </a:endParaRPr>
              </a:p>
            </xdr:txBody>
          </xdr:sp>
          <xdr:sp macro="" textlink="">
            <xdr:nvSpPr>
              <xdr:cNvPr id="83" name="ZoneTexte 82">
                <a:extLst>
                  <a:ext uri="{FF2B5EF4-FFF2-40B4-BE49-F238E27FC236}">
                    <a16:creationId xmlns:a16="http://schemas.microsoft.com/office/drawing/2014/main" id="{8DA24584-0C32-4275-A7B6-10C31EDEF963}"/>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rgbClr val="C00000"/>
                    </a:solidFill>
                    <a:latin typeface="Book Antiqua" panose="02040602050305030304" pitchFamily="18" charset="0"/>
                  </a:rPr>
                  <a:t>non utilis.</a:t>
                </a:r>
              </a:p>
            </xdr:txBody>
          </xdr:sp>
        </xdr:grpSp>
        <xdr:grpSp>
          <xdr:nvGrpSpPr>
            <xdr:cNvPr id="79" name="Groupe 78">
              <a:extLst>
                <a:ext uri="{FF2B5EF4-FFF2-40B4-BE49-F238E27FC236}">
                  <a16:creationId xmlns:a16="http://schemas.microsoft.com/office/drawing/2014/main" id="{3F82122A-63D7-4BDC-9A9B-6A42BE275567}"/>
                </a:ext>
              </a:extLst>
            </xdr:cNvPr>
            <xdr:cNvGrpSpPr/>
          </xdr:nvGrpSpPr>
          <xdr:grpSpPr>
            <a:xfrm rot="5400000">
              <a:off x="21132320" y="12049604"/>
              <a:ext cx="1408044" cy="1441173"/>
              <a:chOff x="21128935" y="10031614"/>
              <a:chExt cx="1408044" cy="715464"/>
            </a:xfrm>
          </xdr:grpSpPr>
          <xdr:sp macro="" textlink="Carburant_Bloc_03">
            <xdr:nvSpPr>
              <xdr:cNvPr id="80" name="Flèche : chevron 42">
                <a:extLst>
                  <a:ext uri="{FF2B5EF4-FFF2-40B4-BE49-F238E27FC236}">
                    <a16:creationId xmlns:a16="http://schemas.microsoft.com/office/drawing/2014/main" id="{73948158-9C3D-4F52-8C0F-CE1D0832A717}"/>
                  </a:ext>
                </a:extLst>
              </xdr:cNvPr>
              <xdr:cNvSpPr/>
            </xdr:nvSpPr>
            <xdr:spPr>
              <a:xfrm>
                <a:off x="21128935" y="10113065"/>
                <a:ext cx="1408044" cy="567474"/>
              </a:xfrm>
              <a:custGeom>
                <a:avLst/>
                <a:gdLst>
                  <a:gd name="connsiteX0" fmla="*/ 0 w 1408044"/>
                  <a:gd name="connsiteY0" fmla="*/ 0 h 1134791"/>
                  <a:gd name="connsiteX1" fmla="*/ 882057 w 1408044"/>
                  <a:gd name="connsiteY1" fmla="*/ 0 h 1134791"/>
                  <a:gd name="connsiteX2" fmla="*/ 1408044 w 1408044"/>
                  <a:gd name="connsiteY2" fmla="*/ 567396 h 1134791"/>
                  <a:gd name="connsiteX3" fmla="*/ 882057 w 1408044"/>
                  <a:gd name="connsiteY3" fmla="*/ 1134791 h 1134791"/>
                  <a:gd name="connsiteX4" fmla="*/ 0 w 1408044"/>
                  <a:gd name="connsiteY4" fmla="*/ 1134791 h 1134791"/>
                  <a:gd name="connsiteX5" fmla="*/ 525987 w 1408044"/>
                  <a:gd name="connsiteY5" fmla="*/ 567396 h 1134791"/>
                  <a:gd name="connsiteX6" fmla="*/ 0 w 1408044"/>
                  <a:gd name="connsiteY6" fmla="*/ 0 h 1134791"/>
                  <a:gd name="connsiteX0" fmla="*/ 0 w 1408044"/>
                  <a:gd name="connsiteY0" fmla="*/ 0 h 1143073"/>
                  <a:gd name="connsiteX1" fmla="*/ 882057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 name="connsiteX0" fmla="*/ 0 w 1408044"/>
                  <a:gd name="connsiteY0" fmla="*/ 0 h 1143073"/>
                  <a:gd name="connsiteX1" fmla="*/ 1403861 w 1408044"/>
                  <a:gd name="connsiteY1" fmla="*/ 0 h 1143073"/>
                  <a:gd name="connsiteX2" fmla="*/ 1408044 w 1408044"/>
                  <a:gd name="connsiteY2" fmla="*/ 567396 h 1143073"/>
                  <a:gd name="connsiteX3" fmla="*/ 1403865 w 1408044"/>
                  <a:gd name="connsiteY3" fmla="*/ 1143073 h 1143073"/>
                  <a:gd name="connsiteX4" fmla="*/ 0 w 1408044"/>
                  <a:gd name="connsiteY4" fmla="*/ 1134791 h 1143073"/>
                  <a:gd name="connsiteX5" fmla="*/ 525987 w 1408044"/>
                  <a:gd name="connsiteY5" fmla="*/ 567396 h 1143073"/>
                  <a:gd name="connsiteX6" fmla="*/ 0 w 1408044"/>
                  <a:gd name="connsiteY6" fmla="*/ 0 h 11430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08044" h="1143073">
                    <a:moveTo>
                      <a:pt x="0" y="0"/>
                    </a:moveTo>
                    <a:lnTo>
                      <a:pt x="1403861" y="0"/>
                    </a:lnTo>
                    <a:cubicBezTo>
                      <a:pt x="1405255" y="189132"/>
                      <a:pt x="1406650" y="378264"/>
                      <a:pt x="1408044" y="567396"/>
                    </a:cubicBezTo>
                    <a:lnTo>
                      <a:pt x="1403865" y="1143073"/>
                    </a:lnTo>
                    <a:lnTo>
                      <a:pt x="0" y="1134791"/>
                    </a:lnTo>
                    <a:lnTo>
                      <a:pt x="525987" y="567396"/>
                    </a:lnTo>
                    <a:lnTo>
                      <a:pt x="0" y="0"/>
                    </a:lnTo>
                    <a:close/>
                  </a:path>
                </a:pathLst>
              </a:custGeom>
              <a:solidFill>
                <a:schemeClr val="tx1">
                  <a:lumMod val="65000"/>
                  <a:lumOff val="35000"/>
                </a:schemeClr>
              </a:solidFill>
              <a:ln>
                <a:solidFill>
                  <a:schemeClr val="tx1">
                    <a:lumMod val="65000"/>
                    <a:lumOff val="35000"/>
                  </a:schemeClr>
                </a:solid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fld id="{97352881-732F-444C-85CA-644512E6ECBC}" type="TxLink">
                  <a:rPr lang="en-US" sz="1400" b="1" i="0" u="none" strike="noStrike">
                    <a:solidFill>
                      <a:srgbClr val="FFFFFF"/>
                    </a:solidFill>
                    <a:effectLst/>
                    <a:latin typeface="Book Antiqua"/>
                  </a:rPr>
                  <a:pPr algn="ctr"/>
                  <a:t>75,6 L</a:t>
                </a:fld>
                <a:endParaRPr lang="fr-FR" sz="1400" b="1">
                  <a:solidFill>
                    <a:srgbClr val="C00000"/>
                  </a:solidFill>
                  <a:effectLst/>
                </a:endParaRPr>
              </a:p>
            </xdr:txBody>
          </xdr:sp>
          <xdr:sp macro="" textlink="">
            <xdr:nvSpPr>
              <xdr:cNvPr id="81" name="ZoneTexte 80">
                <a:extLst>
                  <a:ext uri="{FF2B5EF4-FFF2-40B4-BE49-F238E27FC236}">
                    <a16:creationId xmlns:a16="http://schemas.microsoft.com/office/drawing/2014/main" id="{DA157CC3-9B8A-4D1F-9304-9A851981DD90}"/>
                  </a:ext>
                </a:extLst>
              </xdr:cNvPr>
              <xdr:cNvSpPr txBox="1"/>
            </xdr:nvSpPr>
            <xdr:spPr>
              <a:xfrm rot="16200000">
                <a:off x="21740269" y="10114672"/>
                <a:ext cx="715464" cy="5493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solidFill>
                      <a:schemeClr val="bg1"/>
                    </a:solidFill>
                    <a:latin typeface="Book Antiqua" panose="02040602050305030304" pitchFamily="18" charset="0"/>
                  </a:rPr>
                  <a:t>carb. au bloc</a:t>
                </a:r>
              </a:p>
            </xdr:txBody>
          </xdr:sp>
        </xdr:grpSp>
      </xdr:grpSp>
      <xdr:sp macro="" textlink="">
        <xdr:nvSpPr>
          <xdr:cNvPr id="69" name="Rectangle : coins arrondis 68">
            <a:extLst>
              <a:ext uri="{FF2B5EF4-FFF2-40B4-BE49-F238E27FC236}">
                <a16:creationId xmlns:a16="http://schemas.microsoft.com/office/drawing/2014/main" id="{563D2B7F-EA01-4957-BB8B-D81DF955F115}"/>
              </a:ext>
            </a:extLst>
          </xdr:cNvPr>
          <xdr:cNvSpPr/>
        </xdr:nvSpPr>
        <xdr:spPr>
          <a:xfrm>
            <a:off x="19254911" y="6931340"/>
            <a:ext cx="3440205" cy="506966"/>
          </a:xfrm>
          <a:prstGeom prst="roundRect">
            <a:avLst>
              <a:gd name="adj" fmla="val 49823"/>
            </a:avLst>
          </a:prstGeom>
          <a:solidFill>
            <a:srgbClr val="002060"/>
          </a:solidFill>
          <a:ln>
            <a:noFill/>
          </a:ln>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i="0" u="none" strike="noStrike" baseline="0">
                <a:solidFill>
                  <a:schemeClr val="bg1"/>
                </a:solidFill>
                <a:latin typeface="Book Antiqua"/>
              </a:rPr>
              <a:t>CARBURANT AU DEPART</a:t>
            </a:r>
            <a:endParaRPr lang="fr-FR" sz="1600" b="1" i="0" u="none" strike="noStrike">
              <a:solidFill>
                <a:schemeClr val="bg1"/>
              </a:solidFill>
              <a:latin typeface="Book Antiqua"/>
            </a:endParaRPr>
          </a:p>
        </xdr:txBody>
      </xdr:sp>
      <xdr:sp macro="" textlink="$U$18">
        <xdr:nvSpPr>
          <xdr:cNvPr id="21" name="ZoneTexte 20">
            <a:extLst>
              <a:ext uri="{FF2B5EF4-FFF2-40B4-BE49-F238E27FC236}">
                <a16:creationId xmlns:a16="http://schemas.microsoft.com/office/drawing/2014/main" id="{5A8903EE-BE6C-439E-88D6-E6A3CF52AF99}"/>
              </a:ext>
            </a:extLst>
          </xdr:cNvPr>
          <xdr:cNvSpPr txBox="1"/>
        </xdr:nvSpPr>
        <xdr:spPr>
          <a:xfrm>
            <a:off x="20032916" y="9465768"/>
            <a:ext cx="1423948"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DAEFD357-DCFE-4935-BCC6-F4AA502B1784}" type="TxLink">
              <a:rPr lang="en-US" sz="1400" b="1" i="0" u="none" strike="noStrike">
                <a:solidFill>
                  <a:schemeClr val="accent6">
                    <a:lumMod val="50000"/>
                  </a:schemeClr>
                </a:solidFill>
                <a:latin typeface="Book Antiqua"/>
              </a:rPr>
              <a:pPr algn="ctr"/>
              <a:t>15,85 Gal US</a:t>
            </a:fld>
            <a:endParaRPr lang="fr-FR" sz="1100" b="1">
              <a:solidFill>
                <a:schemeClr val="accent6">
                  <a:lumMod val="50000"/>
                </a:schemeClr>
              </a:solidFill>
              <a:latin typeface="Book Antiqua" panose="02040602050305030304" pitchFamily="18" charset="0"/>
            </a:endParaRPr>
          </a:p>
        </xdr:txBody>
      </xdr:sp>
      <xdr:sp macro="" textlink="$U$16">
        <xdr:nvSpPr>
          <xdr:cNvPr id="45" name="ZoneTexte 44">
            <a:extLst>
              <a:ext uri="{FF2B5EF4-FFF2-40B4-BE49-F238E27FC236}">
                <a16:creationId xmlns:a16="http://schemas.microsoft.com/office/drawing/2014/main" id="{7A9FEA42-4A00-48B4-B3F7-793897930B71}"/>
              </a:ext>
            </a:extLst>
          </xdr:cNvPr>
          <xdr:cNvSpPr txBox="1"/>
        </xdr:nvSpPr>
        <xdr:spPr>
          <a:xfrm>
            <a:off x="21721002" y="9443356"/>
            <a:ext cx="1429551" cy="413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4AC07D80-B375-4E4B-AF4B-9D7573FC1714}" type="TxLink">
              <a:rPr lang="en-US" sz="1400" b="1" i="0" u="none" strike="noStrike">
                <a:solidFill>
                  <a:schemeClr val="accent6">
                    <a:lumMod val="50000"/>
                  </a:schemeClr>
                </a:solidFill>
                <a:latin typeface="Book Antiqua"/>
              </a:rPr>
              <a:pPr algn="ctr"/>
              <a:t>15,85 Gal US</a:t>
            </a:fld>
            <a:endParaRPr lang="fr-FR" sz="1100" b="1">
              <a:solidFill>
                <a:schemeClr val="accent6">
                  <a:lumMod val="50000"/>
                </a:schemeClr>
              </a:solidFill>
              <a:latin typeface="Book Antiqua" panose="02040602050305030304" pitchFamily="18" charset="0"/>
            </a:endParaRPr>
          </a:p>
        </xdr:txBody>
      </xdr:sp>
    </xdr:grpSp>
    <xdr:clientData/>
  </xdr:twoCellAnchor>
  <xdr:twoCellAnchor>
    <xdr:from>
      <xdr:col>7</xdr:col>
      <xdr:colOff>460312</xdr:colOff>
      <xdr:row>31</xdr:row>
      <xdr:rowOff>140434</xdr:rowOff>
    </xdr:from>
    <xdr:to>
      <xdr:col>7</xdr:col>
      <xdr:colOff>2544618</xdr:colOff>
      <xdr:row>34</xdr:row>
      <xdr:rowOff>24823</xdr:rowOff>
    </xdr:to>
    <xdr:grpSp>
      <xdr:nvGrpSpPr>
        <xdr:cNvPr id="67" name="Groupe 66">
          <a:extLst>
            <a:ext uri="{FF2B5EF4-FFF2-40B4-BE49-F238E27FC236}">
              <a16:creationId xmlns:a16="http://schemas.microsoft.com/office/drawing/2014/main" id="{A0F19B42-D485-40E4-A5CD-0D7A68021994}"/>
            </a:ext>
          </a:extLst>
        </xdr:cNvPr>
        <xdr:cNvGrpSpPr/>
      </xdr:nvGrpSpPr>
      <xdr:grpSpPr>
        <a:xfrm>
          <a:off x="9962900" y="10360199"/>
          <a:ext cx="2084306" cy="825683"/>
          <a:chOff x="0" y="0"/>
          <a:chExt cx="2083728" cy="819329"/>
        </a:xfrm>
      </xdr:grpSpPr>
      <xdr:sp macro="" textlink="">
        <xdr:nvSpPr>
          <xdr:cNvPr id="68" name="Rectangle 67">
            <a:extLst>
              <a:ext uri="{FF2B5EF4-FFF2-40B4-BE49-F238E27FC236}">
                <a16:creationId xmlns:a16="http://schemas.microsoft.com/office/drawing/2014/main" id="{B139D825-D607-4B49-9AED-8D8B73417D05}"/>
              </a:ext>
            </a:extLst>
          </xdr:cNvPr>
          <xdr:cNvSpPr/>
        </xdr:nvSpPr>
        <xdr:spPr>
          <a:xfrm>
            <a:off x="93230" y="0"/>
            <a:ext cx="1990498" cy="819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fr-FR" sz="1300">
                <a:solidFill>
                  <a:srgbClr val="C00000"/>
                </a:solidFill>
                <a:latin typeface="Book Antiqua" panose="02040602050305030304" pitchFamily="18" charset="0"/>
              </a:rPr>
              <a:t>Masse</a:t>
            </a:r>
            <a:r>
              <a:rPr lang="fr-FR" sz="1300" baseline="0">
                <a:solidFill>
                  <a:srgbClr val="C00000"/>
                </a:solidFill>
                <a:latin typeface="Book Antiqua" panose="02040602050305030304" pitchFamily="18" charset="0"/>
              </a:rPr>
              <a:t> au décollage</a:t>
            </a:r>
          </a:p>
          <a:p>
            <a:pPr algn="l"/>
            <a:endParaRPr lang="fr-FR" sz="900" baseline="0">
              <a:solidFill>
                <a:srgbClr val="C00000"/>
              </a:solidFill>
              <a:latin typeface="Book Antiqua" panose="02040602050305030304" pitchFamily="18" charset="0"/>
            </a:endParaRPr>
          </a:p>
          <a:p>
            <a:pPr algn="l"/>
            <a:r>
              <a:rPr lang="fr-FR" sz="1300" baseline="0">
                <a:solidFill>
                  <a:schemeClr val="accent2">
                    <a:lumMod val="50000"/>
                  </a:schemeClr>
                </a:solidFill>
                <a:latin typeface="Book Antiqua" panose="02040602050305030304" pitchFamily="18" charset="0"/>
              </a:rPr>
              <a:t>Masse à l'atterissage</a:t>
            </a:r>
            <a:endParaRPr lang="fr-FR" sz="1300">
              <a:solidFill>
                <a:schemeClr val="accent2">
                  <a:lumMod val="50000"/>
                </a:schemeClr>
              </a:solidFill>
              <a:latin typeface="Book Antiqua" panose="02040602050305030304" pitchFamily="18" charset="0"/>
            </a:endParaRPr>
          </a:p>
        </xdr:txBody>
      </xdr:sp>
      <xdr:sp macro="" textlink="">
        <xdr:nvSpPr>
          <xdr:cNvPr id="71" name="Rectangle 70">
            <a:extLst>
              <a:ext uri="{FF2B5EF4-FFF2-40B4-BE49-F238E27FC236}">
                <a16:creationId xmlns:a16="http://schemas.microsoft.com/office/drawing/2014/main" id="{2DBF73F7-7512-4035-BBFC-2850045CF7C5}"/>
              </a:ext>
            </a:extLst>
          </xdr:cNvPr>
          <xdr:cNvSpPr/>
        </xdr:nvSpPr>
        <xdr:spPr>
          <a:xfrm rot="2749803" flipH="1">
            <a:off x="1977" y="87662"/>
            <a:ext cx="110987" cy="114942"/>
          </a:xfrm>
          <a:prstGeom prst="rect">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sp macro="" textlink="">
        <xdr:nvSpPr>
          <xdr:cNvPr id="90" name="Rectangle 89">
            <a:extLst>
              <a:ext uri="{FF2B5EF4-FFF2-40B4-BE49-F238E27FC236}">
                <a16:creationId xmlns:a16="http://schemas.microsoft.com/office/drawing/2014/main" id="{F0284355-8E24-44FC-8FA2-CDDCFDAFBFB5}"/>
              </a:ext>
            </a:extLst>
          </xdr:cNvPr>
          <xdr:cNvSpPr/>
        </xdr:nvSpPr>
        <xdr:spPr>
          <a:xfrm rot="2749803" flipH="1">
            <a:off x="4082" y="452833"/>
            <a:ext cx="113580" cy="114942"/>
          </a:xfrm>
          <a:prstGeom prst="rect">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fr-FR" sz="1100"/>
          </a:p>
        </xdr:txBody>
      </xdr:sp>
    </xdr:grpSp>
    <xdr:clientData/>
  </xdr:twoCellAnchor>
  <xdr:twoCellAnchor>
    <xdr:from>
      <xdr:col>9</xdr:col>
      <xdr:colOff>35144</xdr:colOff>
      <xdr:row>3</xdr:row>
      <xdr:rowOff>35144</xdr:rowOff>
    </xdr:from>
    <xdr:to>
      <xdr:col>11</xdr:col>
      <xdr:colOff>0</xdr:colOff>
      <xdr:row>4</xdr:row>
      <xdr:rowOff>283380</xdr:rowOff>
    </xdr:to>
    <xdr:sp macro="" textlink="">
      <xdr:nvSpPr>
        <xdr:cNvPr id="91" name="Bulle narrative : rectangle 90">
          <a:extLst>
            <a:ext uri="{FF2B5EF4-FFF2-40B4-BE49-F238E27FC236}">
              <a16:creationId xmlns:a16="http://schemas.microsoft.com/office/drawing/2014/main" id="{1A81E675-5CA6-436E-A649-59E46A7B63D4}"/>
            </a:ext>
          </a:extLst>
        </xdr:cNvPr>
        <xdr:cNvSpPr/>
      </xdr:nvSpPr>
      <xdr:spPr>
        <a:xfrm>
          <a:off x="13724868" y="1296385"/>
          <a:ext cx="2066925" cy="563547"/>
        </a:xfrm>
        <a:prstGeom prst="wedgeRectCallout">
          <a:avLst>
            <a:gd name="adj1" fmla="val -8405"/>
            <a:gd name="adj2" fmla="val 64480"/>
          </a:avLst>
        </a:prstGeom>
        <a:solidFill>
          <a:srgbClr val="C00000"/>
        </a:solidFill>
        <a:ln>
          <a:solidFill>
            <a:srgbClr val="C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solidFill>
                <a:schemeClr val="bg1"/>
              </a:solidFill>
              <a:latin typeface="Book Antiqua" panose="02040602050305030304" pitchFamily="18" charset="0"/>
            </a:rPr>
            <a:t>Durée de vol potentielle</a:t>
          </a:r>
          <a:r>
            <a:rPr lang="fr-FR" sz="1100" baseline="0">
              <a:solidFill>
                <a:schemeClr val="bg1"/>
              </a:solidFill>
              <a:latin typeface="Book Antiqua" panose="02040602050305030304" pitchFamily="18" charset="0"/>
            </a:rPr>
            <a:t> max avec le carburant indiqué</a:t>
          </a:r>
          <a:endParaRPr lang="fr-FR" sz="1100">
            <a:solidFill>
              <a:schemeClr val="bg1"/>
            </a:solidFill>
            <a:latin typeface="Book Antiqua" panose="02040602050305030304" pitchFamily="18" charset="0"/>
          </a:endParaRPr>
        </a:p>
      </xdr:txBody>
    </xdr:sp>
    <xdr:clientData/>
  </xdr:twoCellAnchor>
  <xdr:twoCellAnchor>
    <xdr:from>
      <xdr:col>0</xdr:col>
      <xdr:colOff>76199</xdr:colOff>
      <xdr:row>0</xdr:row>
      <xdr:rowOff>0</xdr:rowOff>
    </xdr:from>
    <xdr:to>
      <xdr:col>0</xdr:col>
      <xdr:colOff>2735036</xdr:colOff>
      <xdr:row>54</xdr:row>
      <xdr:rowOff>0</xdr:rowOff>
    </xdr:to>
    <xdr:grpSp>
      <xdr:nvGrpSpPr>
        <xdr:cNvPr id="23" name="Groupe 22">
          <a:extLst>
            <a:ext uri="{FF2B5EF4-FFF2-40B4-BE49-F238E27FC236}">
              <a16:creationId xmlns:a16="http://schemas.microsoft.com/office/drawing/2014/main" id="{0D244EF5-A184-48F6-A320-A1754316EBA8}"/>
            </a:ext>
          </a:extLst>
        </xdr:cNvPr>
        <xdr:cNvGrpSpPr/>
      </xdr:nvGrpSpPr>
      <xdr:grpSpPr>
        <a:xfrm>
          <a:off x="76199" y="0"/>
          <a:ext cx="2658837" cy="15889941"/>
          <a:chOff x="76199" y="0"/>
          <a:chExt cx="2658837" cy="16034079"/>
        </a:xfrm>
      </xdr:grpSpPr>
      <xdr:grpSp>
        <xdr:nvGrpSpPr>
          <xdr:cNvPr id="44" name="Groupe 43">
            <a:extLst>
              <a:ext uri="{FF2B5EF4-FFF2-40B4-BE49-F238E27FC236}">
                <a16:creationId xmlns:a16="http://schemas.microsoft.com/office/drawing/2014/main" id="{4685C8F7-5763-481E-95EA-C60E379EDF07}"/>
              </a:ext>
            </a:extLst>
          </xdr:cNvPr>
          <xdr:cNvGrpSpPr/>
        </xdr:nvGrpSpPr>
        <xdr:grpSpPr>
          <a:xfrm>
            <a:off x="82826" y="0"/>
            <a:ext cx="2652210" cy="16034079"/>
            <a:chOff x="0" y="0"/>
            <a:chExt cx="2652210" cy="15922975"/>
          </a:xfrm>
        </xdr:grpSpPr>
        <xdr:grpSp>
          <xdr:nvGrpSpPr>
            <xdr:cNvPr id="46" name="Groupe 45">
              <a:extLst>
                <a:ext uri="{FF2B5EF4-FFF2-40B4-BE49-F238E27FC236}">
                  <a16:creationId xmlns:a16="http://schemas.microsoft.com/office/drawing/2014/main" id="{2EC5C08F-CF67-4C74-A3EE-6EC94F2C9313}"/>
                </a:ext>
              </a:extLst>
            </xdr:cNvPr>
            <xdr:cNvGrpSpPr/>
          </xdr:nvGrpSpPr>
          <xdr:grpSpPr>
            <a:xfrm>
              <a:off x="0" y="0"/>
              <a:ext cx="2652210" cy="15922975"/>
              <a:chOff x="0" y="0"/>
              <a:chExt cx="2652210" cy="15919382"/>
            </a:xfrm>
          </xdr:grpSpPr>
          <xdr:grpSp>
            <xdr:nvGrpSpPr>
              <xdr:cNvPr id="48" name="Groupe 47">
                <a:extLst>
                  <a:ext uri="{FF2B5EF4-FFF2-40B4-BE49-F238E27FC236}">
                    <a16:creationId xmlns:a16="http://schemas.microsoft.com/office/drawing/2014/main" id="{34AAE1A0-847F-4B1E-A3B7-8BF380EC85AB}"/>
                  </a:ext>
                </a:extLst>
              </xdr:cNvPr>
              <xdr:cNvGrpSpPr/>
            </xdr:nvGrpSpPr>
            <xdr:grpSpPr>
              <a:xfrm>
                <a:off x="0" y="0"/>
                <a:ext cx="2652210" cy="15919382"/>
                <a:chOff x="0" y="0"/>
                <a:chExt cx="2652210" cy="15781891"/>
              </a:xfrm>
            </xdr:grpSpPr>
            <xdr:pic>
              <xdr:nvPicPr>
                <xdr:cNvPr id="50" name="Image 49">
                  <a:extLst>
                    <a:ext uri="{FF2B5EF4-FFF2-40B4-BE49-F238E27FC236}">
                      <a16:creationId xmlns:a16="http://schemas.microsoft.com/office/drawing/2014/main" id="{F08F848D-1A9D-4A81-AC4E-949CA69115D5}"/>
                    </a:ext>
                  </a:extLst>
                </xdr:cNvPr>
                <xdr:cNvPicPr>
                  <a:picLocks noChangeAspect="1"/>
                </xdr:cNvPicPr>
              </xdr:nvPicPr>
              <xdr:blipFill>
                <a:blip xmlns:r="http://schemas.openxmlformats.org/officeDocument/2006/relationships" r:embed="rId6" cstate="print">
                  <a:alphaModFix amt="50000"/>
                  <a:extLst>
                    <a:ext uri="{28A0092B-C50C-407E-A947-70E740481C1C}">
                      <a14:useLocalDpi xmlns:a14="http://schemas.microsoft.com/office/drawing/2010/main" val="0"/>
                    </a:ext>
                  </a:extLst>
                </a:blip>
                <a:stretch>
                  <a:fillRect/>
                </a:stretch>
              </xdr:blipFill>
              <xdr:spPr>
                <a:xfrm>
                  <a:off x="0" y="0"/>
                  <a:ext cx="2643187" cy="15781891"/>
                </a:xfrm>
                <a:prstGeom prst="rect">
                  <a:avLst/>
                </a:prstGeom>
                <a:ln w="12700">
                  <a:solidFill>
                    <a:srgbClr val="0070C0"/>
                  </a:solidFill>
                </a:ln>
                <a:effectLst>
                  <a:outerShdw blurRad="50800" dist="38100" dir="2700000" algn="tl" rotWithShape="0">
                    <a:prstClr val="black">
                      <a:alpha val="40000"/>
                    </a:prstClr>
                  </a:outerShdw>
                </a:effectLst>
                <a:scene3d>
                  <a:camera prst="orthographicFront"/>
                  <a:lightRig rig="threePt" dir="t"/>
                </a:scene3d>
                <a:sp3d>
                  <a:bevelT/>
                </a:sp3d>
              </xdr:spPr>
            </xdr:pic>
            <xdr:grpSp>
              <xdr:nvGrpSpPr>
                <xdr:cNvPr id="51" name="Groupe 50">
                  <a:extLst>
                    <a:ext uri="{FF2B5EF4-FFF2-40B4-BE49-F238E27FC236}">
                      <a16:creationId xmlns:a16="http://schemas.microsoft.com/office/drawing/2014/main" id="{565B35DD-4312-4024-B07C-8145E1E0057B}"/>
                    </a:ext>
                  </a:extLst>
                </xdr:cNvPr>
                <xdr:cNvGrpSpPr/>
              </xdr:nvGrpSpPr>
              <xdr:grpSpPr>
                <a:xfrm>
                  <a:off x="8283" y="2949975"/>
                  <a:ext cx="2637419" cy="1073362"/>
                  <a:chOff x="8283" y="2972387"/>
                  <a:chExt cx="2637419" cy="1090171"/>
                </a:xfrm>
              </xdr:grpSpPr>
              <xdr:sp macro="" textlink="">
                <xdr:nvSpPr>
                  <xdr:cNvPr id="65" name="Ellipse 64">
                    <a:extLst>
                      <a:ext uri="{FF2B5EF4-FFF2-40B4-BE49-F238E27FC236}">
                        <a16:creationId xmlns:a16="http://schemas.microsoft.com/office/drawing/2014/main" id="{6B3B4E42-5932-415A-BB94-1E76D7634DE0}"/>
                      </a:ext>
                    </a:extLst>
                  </xdr:cNvPr>
                  <xdr:cNvSpPr/>
                </xdr:nvSpPr>
                <xdr:spPr>
                  <a:xfrm>
                    <a:off x="1082064" y="2972387"/>
                    <a:ext cx="489857" cy="48942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1</a:t>
                    </a:r>
                  </a:p>
                </xdr:txBody>
              </xdr:sp>
              <xdr:sp macro="" textlink="">
                <xdr:nvSpPr>
                  <xdr:cNvPr id="66" name="ZoneTexte 65">
                    <a:extLst>
                      <a:ext uri="{FF2B5EF4-FFF2-40B4-BE49-F238E27FC236}">
                        <a16:creationId xmlns:a16="http://schemas.microsoft.com/office/drawing/2014/main" id="{706A178D-7017-4AF5-998A-F20EA2452284}"/>
                      </a:ext>
                    </a:extLst>
                  </xdr:cNvPr>
                  <xdr:cNvSpPr txBox="1"/>
                </xdr:nvSpPr>
                <xdr:spPr>
                  <a:xfrm>
                    <a:off x="8283" y="3445912"/>
                    <a:ext cx="2637419" cy="616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le poids du pilote, des passagers et des bagages.</a:t>
                    </a:r>
                  </a:p>
                </xdr:txBody>
              </xdr:sp>
            </xdr:grpSp>
            <xdr:grpSp>
              <xdr:nvGrpSpPr>
                <xdr:cNvPr id="52" name="Groupe 51">
                  <a:extLst>
                    <a:ext uri="{FF2B5EF4-FFF2-40B4-BE49-F238E27FC236}">
                      <a16:creationId xmlns:a16="http://schemas.microsoft.com/office/drawing/2014/main" id="{97BC9BEB-74ED-4A68-873C-986E0BBEE3E5}"/>
                    </a:ext>
                  </a:extLst>
                </xdr:cNvPr>
                <xdr:cNvGrpSpPr/>
              </xdr:nvGrpSpPr>
              <xdr:grpSpPr>
                <a:xfrm>
                  <a:off x="1775" y="4904976"/>
                  <a:ext cx="2650435" cy="1365994"/>
                  <a:chOff x="1775" y="4956803"/>
                  <a:chExt cx="2650435" cy="1382803"/>
                </a:xfrm>
              </xdr:grpSpPr>
              <xdr:sp macro="" textlink="">
                <xdr:nvSpPr>
                  <xdr:cNvPr id="63" name="Ellipse 62">
                    <a:extLst>
                      <a:ext uri="{FF2B5EF4-FFF2-40B4-BE49-F238E27FC236}">
                        <a16:creationId xmlns:a16="http://schemas.microsoft.com/office/drawing/2014/main" id="{644FE1A6-A1D6-4C0E-A20F-8EA0B632BC55}"/>
                      </a:ext>
                    </a:extLst>
                  </xdr:cNvPr>
                  <xdr:cNvSpPr/>
                </xdr:nvSpPr>
                <xdr:spPr>
                  <a:xfrm>
                    <a:off x="1082064" y="4956803"/>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2</a:t>
                    </a:r>
                  </a:p>
                </xdr:txBody>
              </xdr:sp>
              <xdr:sp macro="" textlink="">
                <xdr:nvSpPr>
                  <xdr:cNvPr id="64" name="ZoneTexte 63">
                    <a:extLst>
                      <a:ext uri="{FF2B5EF4-FFF2-40B4-BE49-F238E27FC236}">
                        <a16:creationId xmlns:a16="http://schemas.microsoft.com/office/drawing/2014/main" id="{2C99DBE7-2A5B-4ADB-828D-6B4D9CC752E2}"/>
                      </a:ext>
                    </a:extLst>
                  </xdr:cNvPr>
                  <xdr:cNvSpPr txBox="1"/>
                </xdr:nvSpPr>
                <xdr:spPr>
                  <a:xfrm>
                    <a:off x="1775" y="5386479"/>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J'indique la</a:t>
                    </a:r>
                    <a:r>
                      <a:rPr lang="fr-FR" sz="1400" baseline="0">
                        <a:latin typeface="Book Antiqua" panose="02040602050305030304" pitchFamily="18" charset="0"/>
                      </a:rPr>
                      <a:t> durée prévue du vol et le nombre d'aérodromes où je prévois d'atterrir.</a:t>
                    </a:r>
                    <a:endParaRPr lang="fr-FR" sz="1400">
                      <a:latin typeface="Book Antiqua" panose="02040602050305030304" pitchFamily="18" charset="0"/>
                    </a:endParaRPr>
                  </a:p>
                </xdr:txBody>
              </xdr:sp>
            </xdr:grpSp>
            <xdr:grpSp>
              <xdr:nvGrpSpPr>
                <xdr:cNvPr id="53" name="Groupe 52">
                  <a:extLst>
                    <a:ext uri="{FF2B5EF4-FFF2-40B4-BE49-F238E27FC236}">
                      <a16:creationId xmlns:a16="http://schemas.microsoft.com/office/drawing/2014/main" id="{E652BF22-B838-44E8-893F-A99C0C9EF9C8}"/>
                    </a:ext>
                  </a:extLst>
                </xdr:cNvPr>
                <xdr:cNvGrpSpPr/>
              </xdr:nvGrpSpPr>
              <xdr:grpSpPr>
                <a:xfrm>
                  <a:off x="1775" y="6654494"/>
                  <a:ext cx="2650435" cy="1361792"/>
                  <a:chOff x="1775" y="6727332"/>
                  <a:chExt cx="2650435" cy="1382803"/>
                </a:xfrm>
              </xdr:grpSpPr>
              <xdr:sp macro="" textlink="">
                <xdr:nvSpPr>
                  <xdr:cNvPr id="61" name="Ellipse 60">
                    <a:extLst>
                      <a:ext uri="{FF2B5EF4-FFF2-40B4-BE49-F238E27FC236}">
                        <a16:creationId xmlns:a16="http://schemas.microsoft.com/office/drawing/2014/main" id="{1C476546-7342-4CB8-80ED-C9D3A39697F1}"/>
                      </a:ext>
                    </a:extLst>
                  </xdr:cNvPr>
                  <xdr:cNvSpPr/>
                </xdr:nvSpPr>
                <xdr:spPr>
                  <a:xfrm>
                    <a:off x="1082064" y="6727332"/>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3</a:t>
                    </a:r>
                  </a:p>
                </xdr:txBody>
              </xdr:sp>
              <xdr:sp macro="" textlink="">
                <xdr:nvSpPr>
                  <xdr:cNvPr id="62" name="ZoneTexte 61">
                    <a:extLst>
                      <a:ext uri="{FF2B5EF4-FFF2-40B4-BE49-F238E27FC236}">
                        <a16:creationId xmlns:a16="http://schemas.microsoft.com/office/drawing/2014/main" id="{3541E444-D4CB-46A5-8D29-1EEBF4AF653A}"/>
                      </a:ext>
                    </a:extLst>
                  </xdr:cNvPr>
                  <xdr:cNvSpPr txBox="1"/>
                </xdr:nvSpPr>
                <xdr:spPr>
                  <a:xfrm>
                    <a:off x="1775" y="7157008"/>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Après avoir vérifié</a:t>
                    </a:r>
                    <a:r>
                      <a:rPr lang="fr-FR" sz="1400" baseline="0">
                        <a:latin typeface="Book Antiqua" panose="02040602050305030304" pitchFamily="18" charset="0"/>
                      </a:rPr>
                      <a:t> sur l'avion j</a:t>
                    </a:r>
                    <a:r>
                      <a:rPr lang="fr-FR" sz="1400">
                        <a:latin typeface="Book Antiqua" panose="02040602050305030304" pitchFamily="18" charset="0"/>
                      </a:rPr>
                      <a:t>'indique le</a:t>
                    </a:r>
                    <a:r>
                      <a:rPr lang="fr-FR" sz="1400" baseline="0">
                        <a:latin typeface="Book Antiqua" panose="02040602050305030304" pitchFamily="18" charset="0"/>
                      </a:rPr>
                      <a:t> litrage de carburant contenu dans chaque réservoir.</a:t>
                    </a:r>
                    <a:endParaRPr lang="fr-FR" sz="1400">
                      <a:latin typeface="Book Antiqua" panose="02040602050305030304" pitchFamily="18" charset="0"/>
                    </a:endParaRPr>
                  </a:p>
                </xdr:txBody>
              </xdr:sp>
            </xdr:grpSp>
            <xdr:grpSp>
              <xdr:nvGrpSpPr>
                <xdr:cNvPr id="54" name="Groupe 53">
                  <a:extLst>
                    <a:ext uri="{FF2B5EF4-FFF2-40B4-BE49-F238E27FC236}">
                      <a16:creationId xmlns:a16="http://schemas.microsoft.com/office/drawing/2014/main" id="{F66A5C5A-8536-437E-9712-790A0CEF9900}"/>
                    </a:ext>
                  </a:extLst>
                </xdr:cNvPr>
                <xdr:cNvGrpSpPr/>
              </xdr:nvGrpSpPr>
              <xdr:grpSpPr>
                <a:xfrm>
                  <a:off x="1775" y="8354988"/>
                  <a:ext cx="2650435" cy="1253934"/>
                  <a:chOff x="1775" y="8453039"/>
                  <a:chExt cx="2650435" cy="1270743"/>
                </a:xfrm>
              </xdr:grpSpPr>
              <xdr:sp macro="" textlink="">
                <xdr:nvSpPr>
                  <xdr:cNvPr id="59" name="Ellipse 58">
                    <a:extLst>
                      <a:ext uri="{FF2B5EF4-FFF2-40B4-BE49-F238E27FC236}">
                        <a16:creationId xmlns:a16="http://schemas.microsoft.com/office/drawing/2014/main" id="{19B6D3DB-6094-4CA9-9297-24C738672E8D}"/>
                      </a:ext>
                    </a:extLst>
                  </xdr:cNvPr>
                  <xdr:cNvSpPr/>
                </xdr:nvSpPr>
                <xdr:spPr>
                  <a:xfrm>
                    <a:off x="1082064" y="8453039"/>
                    <a:ext cx="489857" cy="49039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ysClr val="windowText" lastClr="000000"/>
                        </a:solidFill>
                        <a:latin typeface="Book Antiqua" panose="02040602050305030304" pitchFamily="18" charset="0"/>
                      </a:rPr>
                      <a:t>4</a:t>
                    </a:r>
                  </a:p>
                </xdr:txBody>
              </xdr:sp>
              <xdr:sp macro="" textlink="">
                <xdr:nvSpPr>
                  <xdr:cNvPr id="60" name="ZoneTexte 59">
                    <a:extLst>
                      <a:ext uri="{FF2B5EF4-FFF2-40B4-BE49-F238E27FC236}">
                        <a16:creationId xmlns:a16="http://schemas.microsoft.com/office/drawing/2014/main" id="{98D125DC-160D-4045-B18B-E44847C318B8}"/>
                      </a:ext>
                    </a:extLst>
                  </xdr:cNvPr>
                  <xdr:cNvSpPr txBox="1"/>
                </xdr:nvSpPr>
                <xdr:spPr>
                  <a:xfrm>
                    <a:off x="1775" y="8770655"/>
                    <a:ext cx="2650435" cy="95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Et pour terminer j'indique si je réalise un vol de jour ou un vol de nuit.</a:t>
                    </a:r>
                  </a:p>
                </xdr:txBody>
              </xdr:sp>
            </xdr:grpSp>
            <xdr:grpSp>
              <xdr:nvGrpSpPr>
                <xdr:cNvPr id="55" name="Groupe 54">
                  <a:extLst>
                    <a:ext uri="{FF2B5EF4-FFF2-40B4-BE49-F238E27FC236}">
                      <a16:creationId xmlns:a16="http://schemas.microsoft.com/office/drawing/2014/main" id="{3058597A-0C2D-4F8B-8CE9-0FAFB4271E30}"/>
                    </a:ext>
                  </a:extLst>
                </xdr:cNvPr>
                <xdr:cNvGrpSpPr/>
              </xdr:nvGrpSpPr>
              <xdr:grpSpPr>
                <a:xfrm>
                  <a:off x="1775" y="9723905"/>
                  <a:ext cx="2650435" cy="2783261"/>
                  <a:chOff x="1775" y="9838765"/>
                  <a:chExt cx="2650435" cy="2734235"/>
                </a:xfrm>
              </xdr:grpSpPr>
              <xdr:sp macro="" textlink="">
                <xdr:nvSpPr>
                  <xdr:cNvPr id="57" name="ZoneTexte 56">
                    <a:extLst>
                      <a:ext uri="{FF2B5EF4-FFF2-40B4-BE49-F238E27FC236}">
                        <a16:creationId xmlns:a16="http://schemas.microsoft.com/office/drawing/2014/main" id="{136A1E59-AC75-405F-AED0-A3AFBF586DD7}"/>
                      </a:ext>
                    </a:extLst>
                  </xdr:cNvPr>
                  <xdr:cNvSpPr txBox="1"/>
                </xdr:nvSpPr>
                <xdr:spPr>
                  <a:xfrm>
                    <a:off x="1775" y="10623176"/>
                    <a:ext cx="2650435" cy="194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C00000"/>
                        </a:solidFill>
                        <a:latin typeface="Book Antiqua" panose="02040602050305030304" pitchFamily="18" charset="0"/>
                      </a:rPr>
                      <a:t>Une fois complétés tous les paramètres ci-dessus, je m'assure qu'aucune</a:t>
                    </a:r>
                    <a:r>
                      <a:rPr lang="fr-FR" sz="1400" baseline="0">
                        <a:solidFill>
                          <a:srgbClr val="C00000"/>
                        </a:solidFill>
                        <a:latin typeface="Book Antiqua" panose="02040602050305030304" pitchFamily="18" charset="0"/>
                      </a:rPr>
                      <a:t> indication en rouge indiquant une erreur n'apparait.</a:t>
                    </a:r>
                    <a:br>
                      <a:rPr lang="fr-FR" sz="1400" baseline="0">
                        <a:solidFill>
                          <a:srgbClr val="C00000"/>
                        </a:solidFill>
                        <a:latin typeface="Book Antiqua" panose="02040602050305030304" pitchFamily="18" charset="0"/>
                      </a:rPr>
                    </a:br>
                    <a:r>
                      <a:rPr lang="fr-FR" sz="1400" baseline="0">
                        <a:solidFill>
                          <a:srgbClr val="C00000"/>
                        </a:solidFill>
                        <a:latin typeface="Book Antiqua" panose="02040602050305030304" pitchFamily="18" charset="0"/>
                      </a:rPr>
                      <a:t>Si c'est le cas il est interdit de décoller et je dois corriger les paramètres erronés !</a:t>
                    </a:r>
                    <a:endParaRPr lang="fr-FR" sz="1400">
                      <a:solidFill>
                        <a:srgbClr val="C00000"/>
                      </a:solidFill>
                      <a:latin typeface="Book Antiqua" panose="02040602050305030304" pitchFamily="18" charset="0"/>
                    </a:endParaRPr>
                  </a:p>
                </xdr:txBody>
              </xdr:sp>
              <xdr:pic>
                <xdr:nvPicPr>
                  <xdr:cNvPr id="58" name="Image 57">
                    <a:extLst>
                      <a:ext uri="{FF2B5EF4-FFF2-40B4-BE49-F238E27FC236}">
                        <a16:creationId xmlns:a16="http://schemas.microsoft.com/office/drawing/2014/main" id="{6F318D88-B4F9-4E38-8C0F-EC1367C80F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4566" y="9838765"/>
                    <a:ext cx="764852" cy="772083"/>
                  </a:xfrm>
                  <a:prstGeom prst="rect">
                    <a:avLst/>
                  </a:prstGeom>
                </xdr:spPr>
              </xdr:pic>
            </xdr:grpSp>
            <xdr:sp macro="" textlink="">
              <xdr:nvSpPr>
                <xdr:cNvPr id="56" name="ZoneTexte 55">
                  <a:extLst>
                    <a:ext uri="{FF2B5EF4-FFF2-40B4-BE49-F238E27FC236}">
                      <a16:creationId xmlns:a16="http://schemas.microsoft.com/office/drawing/2014/main" id="{835448A3-F078-4C08-AFCB-BB4E518DB8E5}"/>
                    </a:ext>
                  </a:extLst>
                </xdr:cNvPr>
                <xdr:cNvSpPr txBox="1"/>
              </xdr:nvSpPr>
              <xdr:spPr>
                <a:xfrm>
                  <a:off x="0" y="13210334"/>
                  <a:ext cx="2650435" cy="1655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a:latin typeface="Book Antiqua" panose="02040602050305030304" pitchFamily="18" charset="0"/>
                    </a:rPr>
                    <a:t>Je prends également</a:t>
                  </a:r>
                  <a:r>
                    <a:rPr lang="fr-FR" sz="1400" baseline="0">
                      <a:latin typeface="Book Antiqua" panose="02040602050305030304" pitchFamily="18" charset="0"/>
                    </a:rPr>
                    <a:t> </a:t>
                  </a:r>
                  <a:r>
                    <a:rPr lang="fr-FR" sz="1400">
                      <a:latin typeface="Book Antiqua" panose="02040602050305030304" pitchFamily="18" charset="0"/>
                    </a:rPr>
                    <a:t>bonne note de la durée du vol potentielle avec le carburant au départ indiquée dans le cartouche</a:t>
                  </a:r>
                  <a:r>
                    <a:rPr lang="fr-FR" sz="1400" baseline="0">
                      <a:latin typeface="Book Antiqua" panose="02040602050305030304" pitchFamily="18" charset="0"/>
                    </a:rPr>
                    <a:t> </a:t>
                  </a:r>
                  <a:r>
                    <a:rPr lang="fr-FR" sz="1400" b="1">
                      <a:solidFill>
                        <a:srgbClr val="002060"/>
                      </a:solidFill>
                      <a:latin typeface="Book Antiqua" panose="02040602050305030304" pitchFamily="18" charset="0"/>
                    </a:rPr>
                    <a:t>02-Données du vol </a:t>
                  </a:r>
                  <a:r>
                    <a:rPr lang="fr-FR" sz="1400">
                      <a:latin typeface="Book Antiqua" panose="02040602050305030304" pitchFamily="18" charset="0"/>
                    </a:rPr>
                    <a:t>et dans le graphique du </a:t>
                  </a:r>
                  <a:r>
                    <a:rPr lang="fr-FR" sz="1400" b="1">
                      <a:solidFill>
                        <a:srgbClr val="002060"/>
                      </a:solidFill>
                      <a:latin typeface="Book Antiqua" panose="02040602050305030304" pitchFamily="18" charset="0"/>
                    </a:rPr>
                    <a:t>carburant au départ</a:t>
                  </a:r>
                </a:p>
              </xdr:txBody>
            </xdr:sp>
          </xdr:grpSp>
          <xdr:pic>
            <xdr:nvPicPr>
              <xdr:cNvPr id="49" name="Image 48">
                <a:extLst>
                  <a:ext uri="{FF2B5EF4-FFF2-40B4-BE49-F238E27FC236}">
                    <a16:creationId xmlns:a16="http://schemas.microsoft.com/office/drawing/2014/main" id="{6D4E1139-2A98-45FE-A460-9BAEDAA3C9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3015" y="181794"/>
                <a:ext cx="1270000" cy="1366105"/>
              </a:xfrm>
              <a:prstGeom prst="rect">
                <a:avLst/>
              </a:prstGeom>
              <a:effectLst>
                <a:outerShdw blurRad="50800" dist="38100" dir="2700000" algn="tl" rotWithShape="0">
                  <a:prstClr val="black">
                    <a:alpha val="40000"/>
                  </a:prstClr>
                </a:outerShdw>
              </a:effectLst>
            </xdr:spPr>
          </xdr:pic>
        </xdr:grpSp>
        <xdr:pic>
          <xdr:nvPicPr>
            <xdr:cNvPr id="47" name="Image 46">
              <a:extLst>
                <a:ext uri="{FF2B5EF4-FFF2-40B4-BE49-F238E27FC236}">
                  <a16:creationId xmlns:a16="http://schemas.microsoft.com/office/drawing/2014/main" id="{3799E78D-7511-4C5A-971D-937BDF0933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367" y="12702535"/>
              <a:ext cx="573593" cy="675503"/>
            </a:xfrm>
            <a:prstGeom prst="rect">
              <a:avLst/>
            </a:prstGeom>
          </xdr:spPr>
        </xdr:pic>
      </xdr:grpSp>
      <xdr:sp macro="" textlink="">
        <xdr:nvSpPr>
          <xdr:cNvPr id="92" name="ZoneTexte 91">
            <a:extLst>
              <a:ext uri="{FF2B5EF4-FFF2-40B4-BE49-F238E27FC236}">
                <a16:creationId xmlns:a16="http://schemas.microsoft.com/office/drawing/2014/main" id="{0C68C106-9556-4E80-A747-4EF268C9AC47}"/>
              </a:ext>
            </a:extLst>
          </xdr:cNvPr>
          <xdr:cNvSpPr txBox="1"/>
        </xdr:nvSpPr>
        <xdr:spPr>
          <a:xfrm>
            <a:off x="76199" y="1843767"/>
            <a:ext cx="2631621" cy="884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400" u="sng">
                <a:latin typeface="Book Antiqua" panose="02040602050305030304" pitchFamily="18" charset="0"/>
              </a:rPr>
              <a:t>Après avoir indiqué la date du devis, l'heure et le nom du Cdt de bord :</a:t>
            </a:r>
          </a:p>
        </xdr:txBody>
      </xdr:sp>
    </xdr:grpSp>
    <xdr:clientData/>
  </xdr:twoCellAnchor>
  <xdr:twoCellAnchor>
    <xdr:from>
      <xdr:col>12</xdr:col>
      <xdr:colOff>33618</xdr:colOff>
      <xdr:row>44</xdr:row>
      <xdr:rowOff>112059</xdr:rowOff>
    </xdr:from>
    <xdr:to>
      <xdr:col>13</xdr:col>
      <xdr:colOff>917723</xdr:colOff>
      <xdr:row>53</xdr:row>
      <xdr:rowOff>57961</xdr:rowOff>
    </xdr:to>
    <xdr:grpSp>
      <xdr:nvGrpSpPr>
        <xdr:cNvPr id="93" name="Groupe 92">
          <a:extLst>
            <a:ext uri="{FF2B5EF4-FFF2-40B4-BE49-F238E27FC236}">
              <a16:creationId xmlns:a16="http://schemas.microsoft.com/office/drawing/2014/main" id="{5F36041C-D631-4C70-915A-70E2154801E8}"/>
            </a:ext>
          </a:extLst>
        </xdr:cNvPr>
        <xdr:cNvGrpSpPr/>
      </xdr:nvGrpSpPr>
      <xdr:grpSpPr>
        <a:xfrm>
          <a:off x="16214912" y="13626353"/>
          <a:ext cx="4357929" cy="2075020"/>
          <a:chOff x="16248530" y="13525500"/>
          <a:chExt cx="4359088" cy="2084294"/>
        </a:xfrm>
      </xdr:grpSpPr>
      <xdr:grpSp>
        <xdr:nvGrpSpPr>
          <xdr:cNvPr id="94" name="Groupe 93">
            <a:extLst>
              <a:ext uri="{FF2B5EF4-FFF2-40B4-BE49-F238E27FC236}">
                <a16:creationId xmlns:a16="http://schemas.microsoft.com/office/drawing/2014/main" id="{1BA216CB-6353-4E41-8914-D137948489DB}"/>
              </a:ext>
            </a:extLst>
          </xdr:cNvPr>
          <xdr:cNvGrpSpPr/>
        </xdr:nvGrpSpPr>
        <xdr:grpSpPr>
          <a:xfrm>
            <a:off x="16248530" y="13917707"/>
            <a:ext cx="4359088" cy="1692087"/>
            <a:chOff x="16248530" y="13917707"/>
            <a:chExt cx="4359088" cy="1692087"/>
          </a:xfrm>
        </xdr:grpSpPr>
        <xdr:sp macro="" textlink="">
          <xdr:nvSpPr>
            <xdr:cNvPr id="96" name="Rectangle : coins arrondis 95">
              <a:extLst>
                <a:ext uri="{FF2B5EF4-FFF2-40B4-BE49-F238E27FC236}">
                  <a16:creationId xmlns:a16="http://schemas.microsoft.com/office/drawing/2014/main" id="{480913FC-106C-4383-AE38-2930344EE20B}"/>
                </a:ext>
              </a:extLst>
            </xdr:cNvPr>
            <xdr:cNvSpPr/>
          </xdr:nvSpPr>
          <xdr:spPr>
            <a:xfrm>
              <a:off x="16595912" y="14321118"/>
              <a:ext cx="4011706" cy="1288676"/>
            </a:xfrm>
            <a:prstGeom prst="roundRect">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0">
                  <a:solidFill>
                    <a:schemeClr val="lt1"/>
                  </a:solidFill>
                  <a:effectLst/>
                  <a:latin typeface="Book Antiqua" panose="02040602050305030304" pitchFamily="18" charset="0"/>
                  <a:ea typeface="+mn-ea"/>
                  <a:cs typeface="+mn-cs"/>
                </a:rPr>
                <a:t>Si utilisation de la jauge carburant « FuelHawk C172/26.5 Gal », la quantité lue correspond à </a:t>
              </a:r>
              <a:r>
                <a:rPr lang="fr-FR" sz="1400" b="0" u="sng">
                  <a:solidFill>
                    <a:schemeClr val="lt1"/>
                  </a:solidFill>
                  <a:effectLst/>
                  <a:latin typeface="Book Antiqua" panose="02040602050305030304" pitchFamily="18" charset="0"/>
                  <a:ea typeface="+mn-ea"/>
                  <a:cs typeface="+mn-cs"/>
                </a:rPr>
                <a:t>la quantité utilisable </a:t>
              </a:r>
              <a:r>
                <a:rPr lang="fr-FR" sz="1400" b="0">
                  <a:solidFill>
                    <a:schemeClr val="lt1"/>
                  </a:solidFill>
                  <a:effectLst/>
                  <a:latin typeface="Book Antiqua" panose="02040602050305030304" pitchFamily="18" charset="0"/>
                  <a:ea typeface="+mn-ea"/>
                  <a:cs typeface="+mn-cs"/>
                </a:rPr>
                <a:t>– gallons usable.</a:t>
              </a:r>
            </a:p>
          </xdr:txBody>
        </xdr:sp>
        <xdr:pic>
          <xdr:nvPicPr>
            <xdr:cNvPr id="97" name="Image 96">
              <a:extLst>
                <a:ext uri="{FF2B5EF4-FFF2-40B4-BE49-F238E27FC236}">
                  <a16:creationId xmlns:a16="http://schemas.microsoft.com/office/drawing/2014/main" id="{5DD8898D-88F7-4B81-B610-0ABBD29D0ED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248530" y="13917707"/>
              <a:ext cx="764852" cy="788503"/>
            </a:xfrm>
            <a:prstGeom prst="rect">
              <a:avLst/>
            </a:prstGeom>
          </xdr:spPr>
        </xdr:pic>
      </xdr:grpSp>
      <xdr:sp macro="" textlink="">
        <xdr:nvSpPr>
          <xdr:cNvPr id="95" name="Flèche : bas 94">
            <a:extLst>
              <a:ext uri="{FF2B5EF4-FFF2-40B4-BE49-F238E27FC236}">
                <a16:creationId xmlns:a16="http://schemas.microsoft.com/office/drawing/2014/main" id="{BF8B24A4-5275-4CD9-AA0B-5F7C3A30120F}"/>
              </a:ext>
            </a:extLst>
          </xdr:cNvPr>
          <xdr:cNvSpPr/>
        </xdr:nvSpPr>
        <xdr:spPr>
          <a:xfrm>
            <a:off x="17167412" y="13525500"/>
            <a:ext cx="694764" cy="750794"/>
          </a:xfrm>
          <a:prstGeom prst="downArrow">
            <a:avLst/>
          </a:prstGeom>
          <a:solidFill>
            <a:srgbClr val="C00000"/>
          </a:solidFill>
          <a:ln>
            <a:solidFill>
              <a:srgbClr val="C00000"/>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fr-FR" sz="1400" b="0">
              <a:solidFill>
                <a:schemeClr val="lt1"/>
              </a:solidFill>
              <a:effectLst/>
              <a:latin typeface="Book Antiqua" panose="02040602050305030304" pitchFamily="18" charset="0"/>
              <a:ea typeface="+mn-ea"/>
              <a:cs typeface="+mn-cs"/>
            </a:endParaRPr>
          </a:p>
        </xdr:txBody>
      </xdr:sp>
    </xdr:grp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00-Documents%20de%20travail%20MB\3&#176;%20Dimension\01-AVION\A&#233;roclub%20d'Arcachon\Masse%20et%20centrage\Archives%20Calculateurs\Masse%20%20Centrage%20Avions%20ACBA%20V12%20-%2020.04.2022.xlsx" TargetMode="External"/><Relationship Id="rId1" Type="http://schemas.openxmlformats.org/officeDocument/2006/relationships/externalLinkPath" Target="/00-Documents%20de%20travail%20MB/3&#176;%20Dimension/01-AVION/A&#233;roclub%20d'Arcachon/Masse%20et%20centrage/Archives%20Calculateurs/Masse%20%20Centrage%20Avions%20ACBA%20V12%20-%2020.0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 LIRE AVANT UTILISATION"/>
      <sheetName val="Gestion carburant"/>
      <sheetName val="Convertisseur"/>
      <sheetName val="1-PA18-F-GLLN"/>
      <sheetName val="2-Cessna 152-F-GHLU"/>
      <sheetName val="3-Cessna 172-F-HAFL"/>
      <sheetName val="4-DR 400-G-BAGR"/>
      <sheetName val="5-DR 400-G-ZIGI"/>
      <sheetName val="6-DR 401-F-HIGI"/>
      <sheetName val="7-AQUILA AT01-F-GRFY"/>
      <sheetName val="8-AQUILA AT01-F-HDJR"/>
      <sheetName val="9-Cirrus SR22-N576CD "/>
      <sheetName val="10-CAP10 182 cv F-GDTF"/>
      <sheetName val="11-TB20-N214GT"/>
      <sheetName val="Feuil1"/>
    </sheetNames>
    <sheetDataSet>
      <sheetData sheetId="0" refreshError="1"/>
      <sheetData sheetId="1" refreshError="1"/>
      <sheetData sheetId="2">
        <row r="3">
          <cell r="F3">
            <v>30</v>
          </cell>
        </row>
      </sheetData>
      <sheetData sheetId="3">
        <row r="7">
          <cell r="D7">
            <v>453.5</v>
          </cell>
        </row>
        <row r="11">
          <cell r="N11">
            <v>20</v>
          </cell>
        </row>
        <row r="13">
          <cell r="E13">
            <v>0.49057721632531026</v>
          </cell>
          <cell r="T13">
            <v>656.9</v>
          </cell>
          <cell r="U13">
            <v>0.4883956462170802</v>
          </cell>
          <cell r="V13">
            <v>320.82709999999997</v>
          </cell>
        </row>
        <row r="16">
          <cell r="N16">
            <v>20</v>
          </cell>
        </row>
        <row r="20">
          <cell r="C20">
            <v>680</v>
          </cell>
          <cell r="N20">
            <v>10</v>
          </cell>
        </row>
        <row r="22">
          <cell r="N22">
            <v>3.333333333333333</v>
          </cell>
        </row>
      </sheetData>
      <sheetData sheetId="4">
        <row r="10">
          <cell r="D10">
            <v>10</v>
          </cell>
        </row>
        <row r="11">
          <cell r="N11">
            <v>23</v>
          </cell>
        </row>
        <row r="13">
          <cell r="T13">
            <v>723.24</v>
          </cell>
        </row>
        <row r="16">
          <cell r="N16">
            <v>23</v>
          </cell>
        </row>
        <row r="20">
          <cell r="C20">
            <v>758</v>
          </cell>
          <cell r="N20">
            <v>11.5</v>
          </cell>
        </row>
        <row r="22">
          <cell r="N22">
            <v>3.8333333333333335</v>
          </cell>
        </row>
      </sheetData>
      <sheetData sheetId="5">
        <row r="11">
          <cell r="N11">
            <v>36.299999999999997</v>
          </cell>
        </row>
        <row r="12">
          <cell r="D12">
            <v>10</v>
          </cell>
        </row>
        <row r="13">
          <cell r="T13">
            <v>1115.154</v>
          </cell>
        </row>
        <row r="16">
          <cell r="N16">
            <v>36.299999999999997</v>
          </cell>
        </row>
        <row r="18">
          <cell r="N18">
            <v>42.349999999999994</v>
          </cell>
        </row>
        <row r="20">
          <cell r="N20">
            <v>27.224999999999998</v>
          </cell>
        </row>
        <row r="22">
          <cell r="C22">
            <v>1157</v>
          </cell>
          <cell r="N22">
            <v>6.05</v>
          </cell>
        </row>
      </sheetData>
      <sheetData sheetId="6">
        <row r="7">
          <cell r="D7">
            <v>614.29999999999995</v>
          </cell>
          <cell r="N7">
            <v>140</v>
          </cell>
        </row>
        <row r="10">
          <cell r="N10">
            <v>130</v>
          </cell>
        </row>
        <row r="11">
          <cell r="N11">
            <v>30</v>
          </cell>
        </row>
        <row r="14">
          <cell r="T14">
            <v>902.49999999999989</v>
          </cell>
        </row>
        <row r="16">
          <cell r="N16">
            <v>30</v>
          </cell>
        </row>
        <row r="20">
          <cell r="N20">
            <v>15</v>
          </cell>
        </row>
        <row r="22">
          <cell r="C22">
            <v>1000</v>
          </cell>
        </row>
        <row r="24">
          <cell r="N24">
            <v>45</v>
          </cell>
        </row>
      </sheetData>
      <sheetData sheetId="7">
        <row r="7">
          <cell r="D7">
            <v>648</v>
          </cell>
        </row>
        <row r="9">
          <cell r="N9">
            <v>25</v>
          </cell>
        </row>
        <row r="13">
          <cell r="N13">
            <v>34</v>
          </cell>
        </row>
        <row r="15">
          <cell r="T15">
            <v>993.44</v>
          </cell>
          <cell r="V15">
            <v>474.05280000000005</v>
          </cell>
        </row>
        <row r="18">
          <cell r="N18">
            <v>34</v>
          </cell>
        </row>
        <row r="22">
          <cell r="N22">
            <v>17</v>
          </cell>
        </row>
        <row r="23">
          <cell r="C23">
            <v>1100</v>
          </cell>
        </row>
      </sheetData>
      <sheetData sheetId="8">
        <row r="7">
          <cell r="D7">
            <v>686.34</v>
          </cell>
        </row>
        <row r="11">
          <cell r="N11">
            <v>24</v>
          </cell>
        </row>
        <row r="14">
          <cell r="T14">
            <v>966.26</v>
          </cell>
          <cell r="V14">
            <v>426.62064000000004</v>
          </cell>
        </row>
        <row r="16">
          <cell r="N16">
            <v>72</v>
          </cell>
        </row>
        <row r="18">
          <cell r="N18">
            <v>80</v>
          </cell>
        </row>
        <row r="20">
          <cell r="N20">
            <v>12</v>
          </cell>
        </row>
        <row r="22">
          <cell r="C22">
            <v>1100</v>
          </cell>
          <cell r="N22">
            <v>4</v>
          </cell>
        </row>
      </sheetData>
      <sheetData sheetId="9">
        <row r="7">
          <cell r="D7">
            <v>522</v>
          </cell>
        </row>
        <row r="9">
          <cell r="N9">
            <v>50</v>
          </cell>
        </row>
        <row r="10">
          <cell r="D10">
            <v>5</v>
          </cell>
        </row>
        <row r="11">
          <cell r="N11">
            <v>16.8</v>
          </cell>
        </row>
        <row r="13">
          <cell r="T13">
            <v>724.82400000000007</v>
          </cell>
        </row>
        <row r="16">
          <cell r="N16">
            <v>33.6</v>
          </cell>
        </row>
        <row r="18">
          <cell r="N18">
            <v>36.4</v>
          </cell>
        </row>
        <row r="19">
          <cell r="C19">
            <v>750</v>
          </cell>
        </row>
        <row r="20">
          <cell r="N20">
            <v>8.4</v>
          </cell>
        </row>
        <row r="22">
          <cell r="N22">
            <v>2.8000000000000003</v>
          </cell>
        </row>
      </sheetData>
      <sheetData sheetId="10" refreshError="1"/>
      <sheetData sheetId="11">
        <row r="11">
          <cell r="N11">
            <v>49.21</v>
          </cell>
        </row>
        <row r="12">
          <cell r="D12">
            <v>10</v>
          </cell>
        </row>
        <row r="13">
          <cell r="U13">
            <v>1377.69379</v>
          </cell>
          <cell r="W13">
            <v>197306.149469</v>
          </cell>
        </row>
        <row r="16">
          <cell r="N16">
            <v>147.63</v>
          </cell>
        </row>
        <row r="18">
          <cell r="N18">
            <v>155.83166666666665</v>
          </cell>
        </row>
        <row r="20">
          <cell r="N20">
            <v>24.605</v>
          </cell>
        </row>
        <row r="21">
          <cell r="C21">
            <v>1542</v>
          </cell>
        </row>
        <row r="22">
          <cell r="N22">
            <v>8.201666666666668</v>
          </cell>
        </row>
      </sheetData>
      <sheetData sheetId="12">
        <row r="4">
          <cell r="E4" t="str">
            <v>Catégorie U</v>
          </cell>
        </row>
        <row r="7">
          <cell r="D7">
            <v>565.6</v>
          </cell>
          <cell r="N7">
            <v>110</v>
          </cell>
        </row>
        <row r="9">
          <cell r="N9">
            <v>50</v>
          </cell>
        </row>
        <row r="10">
          <cell r="N10">
            <v>110</v>
          </cell>
        </row>
        <row r="11">
          <cell r="I11">
            <v>0.25085321254823012</v>
          </cell>
          <cell r="N11">
            <v>42</v>
          </cell>
        </row>
        <row r="12">
          <cell r="I12">
            <v>0.2561564549563326</v>
          </cell>
        </row>
        <row r="14">
          <cell r="T14">
            <v>784.72</v>
          </cell>
          <cell r="V14">
            <v>301.51664</v>
          </cell>
        </row>
        <row r="16">
          <cell r="N16">
            <v>21</v>
          </cell>
        </row>
        <row r="18">
          <cell r="N18">
            <v>28</v>
          </cell>
        </row>
        <row r="20">
          <cell r="N20">
            <v>21</v>
          </cell>
        </row>
        <row r="21">
          <cell r="C21">
            <v>830</v>
          </cell>
        </row>
        <row r="22">
          <cell r="C22">
            <v>800</v>
          </cell>
        </row>
        <row r="23">
          <cell r="N23">
            <v>7</v>
          </cell>
        </row>
        <row r="25">
          <cell r="N25">
            <v>35</v>
          </cell>
        </row>
      </sheetData>
      <sheetData sheetId="13">
        <row r="12">
          <cell r="J12">
            <v>800</v>
          </cell>
        </row>
      </sheetData>
      <sheetData sheetId="14" refreshError="1"/>
    </sheetDataSet>
  </externalBook>
</externalLink>
</file>

<file path=xl/persons/person.xml><?xml version="1.0" encoding="utf-8"?>
<personList xmlns="http://schemas.microsoft.com/office/spreadsheetml/2018/threadedcomments" xmlns:x="http://schemas.openxmlformats.org/spreadsheetml/2006/main">
  <person displayName="Marc BIELSA" id="{EABD1D9A-F56B-42C4-898E-CC20814B31B4}" userId="06ef0e67086ab165" providerId="Windows Live"/>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B3" dT="2020-02-28T16:45:59.15" personId="{EABD1D9A-F56B-42C4-898E-CC20814B31B4}" id="{1370A4B5-CC4B-454C-B081-81763A92197F}">
    <text>Indiquer un format date Excel soit "jj/mm" et valider.
L'année en cours sera automatiquement prise en compte.
(Ex : 19/09 affichera 19/09/2020</text>
  </threadedComment>
  <threadedComment ref="H3" dT="2020-02-28T16:45:59.15" personId="{EABD1D9A-F56B-42C4-898E-CC20814B31B4}" id="{9EFB4670-DED2-4811-AC83-52C743E1CBEB}">
    <text>Indiquer un format d'heure Excel soit "heure : minutes" (Ex : 11:25) et valider</text>
  </threadedComment>
  <threadedComment ref="B8" dT="2020-02-29T08:47:41.83" personId="{EABD1D9A-F56B-42C4-898E-CC20814B31B4}" id="{BAC1BDB9-6D58-4A9F-87CA-DB338199D825}">
    <text>Indiquer le poids du CDB habillé</text>
  </threadedComment>
  <threadedComment ref="M8" dT="2020-09-23T05:03:46.61" personId="{EABD1D9A-F56B-42C4-898E-CC20814B31B4}" id="{EDE96EB8-9628-4338-84E0-088E200EDA6B}">
    <text>Indiquer la quantité de carburant existante dans le réservoir de l'aile droite.
Entre parenthèse figure le litrage maximum admissible dans le réservoir.</text>
  </threadedComment>
  <threadedComment ref="B9" dT="2020-02-29T08:48:31.92" personId="{EABD1D9A-F56B-42C4-898E-CC20814B31B4}" id="{4A7EDED8-8958-4697-82F6-85A710D6BBE1}">
    <text>Indiquer le poids du copilote habillé</text>
  </threadedComment>
  <threadedComment ref="M9" dT="2020-09-23T05:03:46.61" personId="{EABD1D9A-F56B-42C4-898E-CC20814B31B4}" id="{4680B8A8-64B2-477A-9ABB-711072D2430A}">
    <text>Indiquer la quantité de carburant existante dans le réservoir de l'aile gauche.
Entre parenthèse figure le litrage maximum admissible dans le réservoir.</text>
  </threadedComment>
  <threadedComment ref="B10" dT="2020-02-29T08:49:04.27" personId="{EABD1D9A-F56B-42C4-898E-CC20814B31B4}" id="{3B7C1840-281F-4678-9851-3ADC591FF2C9}">
    <text>Indiquer le poids du passager arrière 1 habillé</text>
  </threadedComment>
  <threadedComment ref="B11" dT="2020-02-29T08:50:36.87" personId="{EABD1D9A-F56B-42C4-898E-CC20814B31B4}" id="{DAA9895B-F79B-445D-A6D3-55BF1959D2CD}">
    <text>Indiquer le poids du passager arrière 2 habillé</text>
  </threadedComment>
  <threadedComment ref="H16" dT="2020-02-28T16:41:19.37" personId="{EABD1D9A-F56B-42C4-898E-CC20814B31B4}" id="{451E54D4-F4DD-43AA-AEFD-30DFD376F6D1}">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M16" dT="2020-02-28T16:45:59.15" personId="{EABD1D9A-F56B-42C4-898E-CC20814B31B4}" id="{6EC88560-4B62-4102-8242-D17AE7A7C75B}">
    <text>Quantité nécessaire depuis l'aérodrome de départ jusqu'à celui d'arrivée sur le trajet le plus pénalisant à VP de croisière.</text>
  </threadedComment>
  <threadedComment ref="H17" dT="2020-02-28T16:41:19.37" personId="{EABD1D9A-F56B-42C4-898E-CC20814B31B4}" id="{86870286-323C-4B52-A3A5-6F5961A9A241}">
    <text>Indiquez la durée prévue en minute pour le trajet total.</text>
  </threadedComment>
  <threadedComment ref="M17" dT="2020-02-28T16:46:21.94" personId="{EABD1D9A-F56B-42C4-898E-CC20814B31B4}" id="{B2D6C0BA-7DAD-4728-B842-2E95B6D1F3A4}">
    <text>Forfait de 10 mn de vol par aérodrome prévu permettant l'intégration et le tour de piste.</text>
  </threadedComment>
  <threadedComment ref="M18" dT="2020-02-28T16:44:10.59" personId="{EABD1D9A-F56B-42C4-898E-CC20814B31B4}" id="{2F318C45-B4CA-4688-A632-900188C02E74}">
    <text>Total du carburant normalement consommé pendant le vol (1+2).</text>
  </threadedComment>
  <threadedComment ref="M19" dT="2020-02-28T16:48:05.92" personId="{EABD1D9A-F56B-42C4-898E-CC20814B31B4}" id="{AE11363A-BFA0-4662-9FFB-2AA6FFA5E321}">
    <text>Sélectionnez  Jour ou Nuit en fonction du type de vol effectué.</text>
  </threadedComment>
  <threadedComment ref="M20" dT="2020-02-28T16:43:41.71" personId="{EABD1D9A-F56B-42C4-898E-CC20814B31B4}" id="{C0E6EF14-6AFA-4998-9DDD-8DD867CDEF62}">
    <text>Réserve de 30 mn de vol de jour ou de 45 mn de nuit en croisière économique pour l'exploitation générale.</text>
  </threadedComment>
  <threadedComment ref="M22" dT="2020-02-29T14:10:34.42" personId="{EABD1D9A-F56B-42C4-898E-CC20814B31B4}" id="{484CD496-C505-42F5-AF3B-0489787A6676}">
    <text>Consommation estimée lors du roulage correspondant à 10 mn de la consommation horaire moyenne.</text>
  </threadedComment>
  <threadedComment ref="M23" dT="2020-02-29T14:10:34.42" personId="{EABD1D9A-F56B-42C4-898E-CC20814B31B4}" id="{C1DCC8A3-66B1-4851-87BD-C4C853203796}">
    <text>Pourcentage % de carburant supplémentaire pour assurer le délestage et le roulage (numérotées 1, 2 &amp; 4).</text>
  </threadedComment>
  <threadedComment ref="M24" dT="2020-03-01T14:47:18.96" personId="{EABD1D9A-F56B-42C4-898E-CC20814B31B4}" id="{4E163D07-9C23-4949-BA79-61319353FC9A}">
    <text>Carburant nécessaire pour effectuer le vol spécifié dans le cartouche "Données du vol"</text>
  </threadedComment>
  <threadedComment ref="M25" dT="2020-03-01T14:47:18.96" personId="{EABD1D9A-F56B-42C4-898E-CC20814B31B4}" id="{78A5F7E5-2ADD-4E02-A4DF-FCC255EC5470}">
    <text>La consommation horaire moyenne finale inclus les différentes corrections (délestage &amp; roulage) excepté la réserve finale.</text>
  </threadedComment>
  <threadedComment ref="M27" dT="2020-03-01T14:47:18.96" personId="{EABD1D9A-F56B-42C4-898E-CC20814B31B4}" id="{27847B60-8D90-4493-B19D-0D3F2E7947EC}">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0-02-28T16:45:59.15" personId="{EABD1D9A-F56B-42C4-898E-CC20814B31B4}" id="{487E96C7-474A-4BD0-8A96-987D6305EB12}">
    <text>Indiquer un format date Excel soit "jj/mm" et valider.
L'année en cours sera automatiquement prise en compte.
(Ex : 19/09 affichera 19/09/2020</text>
  </threadedComment>
  <threadedComment ref="H3" dT="2020-02-28T16:45:59.15" personId="{EABD1D9A-F56B-42C4-898E-CC20814B31B4}" id="{574A5C83-1D32-4B82-BD07-5619C4A7F5C9}">
    <text>Indiquer un format d'heure Excel soit "heure : minutes" (Ex : 11:25) et valider</text>
  </threadedComment>
  <threadedComment ref="H6" dT="2020-02-28T16:41:19.37" personId="{EABD1D9A-F56B-42C4-898E-CC20814B31B4}" id="{06602FF2-CC23-42D8-850F-67C22401B883}">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7" dT="2020-02-28T16:41:19.37" personId="{EABD1D9A-F56B-42C4-898E-CC20814B31B4}" id="{A5BA15B3-5380-49D0-99FD-F1A2C846D7D6}">
    <text>Indiquez la durée prévue en minute pour le trajet total.</text>
  </threadedComment>
  <threadedComment ref="B8" dT="2020-02-29T08:47:41.83" personId="{EABD1D9A-F56B-42C4-898E-CC20814B31B4}" id="{A364A53F-EFF9-41D6-89E0-2406A6EDD23B}">
    <text>Indiquer le poids du CDB habillé</text>
  </threadedComment>
  <threadedComment ref="M8" dT="2020-09-23T05:03:46.61" personId="{EABD1D9A-F56B-42C4-898E-CC20814B31B4}" id="{BCCC3560-E8D9-4119-90C5-5D4CACEC366B}">
    <text>Indiquer la quantité de carburant existante dans le réservoir de l'aile droite.
Entre parenthèse figure le litrage maximum admissible dans le réservoir.</text>
  </threadedComment>
  <threadedComment ref="B9" dT="2020-02-29T08:48:31.92" personId="{EABD1D9A-F56B-42C4-898E-CC20814B31B4}" id="{4D7278EA-C547-4F0A-8EAB-EFDD5DE5F06E}">
    <text>Indiquer le poids du copilote habillé</text>
  </threadedComment>
  <threadedComment ref="M9" dT="2020-09-23T05:03:46.61" personId="{EABD1D9A-F56B-42C4-898E-CC20814B31B4}" id="{C70CDEA8-BBC7-4D93-9CB6-370DC884C425}">
    <text>Indiquer la quantité de carburant existante dans le réservoir de l'aile gauche.
Entre parenthèse figure le litrage maximum admissible dans le réservoir.</text>
  </threadedComment>
  <threadedComment ref="B10" dT="2020-02-29T08:51:10.85" personId="{EABD1D9A-F56B-42C4-898E-CC20814B31B4}" id="{FD7A3242-D70F-4B93-A129-1AC7CC2E5080}">
    <text>Poids total des bagages compartiment AV (maxi 54 kg)</text>
  </threadedComment>
  <threadedComment ref="M16" dT="2020-02-28T16:45:59.15" personId="{EABD1D9A-F56B-42C4-898E-CC20814B31B4}" id="{2AB2CF71-C96D-4293-97E4-3CA72CB1115B}">
    <text>Quantité nécessaire depuis l'aérodrome de départ jusqu'à celui d'arrivée sur le trajet le plus pénalisant à VP de croisière.</text>
  </threadedComment>
  <threadedComment ref="M17" dT="2020-02-28T16:46:21.94" personId="{EABD1D9A-F56B-42C4-898E-CC20814B31B4}" id="{AFA6F68C-95D5-42FF-90A7-9DE43EDFCF3F}">
    <text>Forfait de 10 mn de vol par aérodrome prévu permettant l'intégration et le tour de piste.</text>
  </threadedComment>
  <threadedComment ref="M18" dT="2020-02-28T16:44:10.59" personId="{EABD1D9A-F56B-42C4-898E-CC20814B31B4}" id="{AEFB13F1-EC06-48E9-9DD8-50B9719A6D40}">
    <text>Total du carburant normalement consommé pendant le vol (1+2).</text>
  </threadedComment>
  <threadedComment ref="M19" dT="2020-02-28T16:48:05.92" personId="{EABD1D9A-F56B-42C4-898E-CC20814B31B4}" id="{0016174E-F830-4752-A630-C4C0A55FCFFC}">
    <text>Sélectionnez  Jour ou Nuit en fonction du type de vol effectué.</text>
  </threadedComment>
  <threadedComment ref="M20" dT="2020-02-28T16:43:41.71" personId="{EABD1D9A-F56B-42C4-898E-CC20814B31B4}" id="{ECF48107-BBF9-477C-BDFA-FB99CE10252D}">
    <text>Réserve de 30 mn de vol de jour ou de 45 mn de nuit en croisière économique pour l'exploitation générale.</text>
  </threadedComment>
  <threadedComment ref="M22" dT="2020-02-29T14:10:34.42" personId="{EABD1D9A-F56B-42C4-898E-CC20814B31B4}" id="{5AF14E8D-4E04-4A1A-8B23-762417E89C86}">
    <text>Consommation estimée lors du roulage correspondant à 10 mn de la consommation horaire moyenne.</text>
  </threadedComment>
  <threadedComment ref="M23" dT="2020-02-29T14:10:34.42" personId="{EABD1D9A-F56B-42C4-898E-CC20814B31B4}" id="{D54C4A54-3F6A-4059-B730-4D13546E2E83}">
    <text>Pourcentage % de carburant supplémentaire pour assurer le délestage et le roulage (numérotées 1, 2 &amp; 4).</text>
  </threadedComment>
  <threadedComment ref="M24" dT="2020-03-01T14:47:18.96" personId="{EABD1D9A-F56B-42C4-898E-CC20814B31B4}" id="{6385FB83-C35F-4FFC-97BC-348E60EE1FBD}">
    <text>Carburant nécessaire pour effectuer le vol spécifié dans le cartouche "Données du vol"</text>
  </threadedComment>
  <threadedComment ref="M25" dT="2020-03-01T14:47:18.96" personId="{EABD1D9A-F56B-42C4-898E-CC20814B31B4}" id="{78E7E695-240B-43C7-AFF2-31F0AA98EE05}">
    <text>La consommation horaire moyenne finale inclus les différentes corrections (délestage &amp; roulage) excepté la réserve finale.</text>
  </threadedComment>
  <threadedComment ref="M26" dT="2020-03-01T14:47:18.96" personId="{EABD1D9A-F56B-42C4-898E-CC20814B31B4}" id="{D4D164CB-FA19-4CCA-BD2A-CF2C56B132CF}">
    <text>Attention ! Le restant théorique total à l'arrivée correspond au total de carburant restant dans le réservoir y compris le non utilisable.</text>
  </threadedComment>
  <threadedComment ref="M27" dT="2020-03-01T14:47:18.96" personId="{EABD1D9A-F56B-42C4-898E-CC20814B31B4}" id="{D06E9F76-A1C6-430B-9C18-997612DF374E}">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3.xml><?xml version="1.0" encoding="utf-8"?>
<ThreadedComments xmlns="http://schemas.microsoft.com/office/spreadsheetml/2018/threadedcomments" xmlns:x="http://schemas.openxmlformats.org/spreadsheetml/2006/main">
  <threadedComment ref="B3" dT="2020-02-28T16:45:59.15" personId="{EABD1D9A-F56B-42C4-898E-CC20814B31B4}" id="{5CC577F3-7572-4FE5-ABA9-54F96C9B653A}">
    <text>Indiquer un format date Excel soit "jj/mm" et valider.
L'année en cours sera automatiquement prise en compte.
(Ex : 19/09 affichera 19/09/2020</text>
  </threadedComment>
  <threadedComment ref="H3" dT="2020-02-28T16:45:59.15" personId="{EABD1D9A-F56B-42C4-898E-CC20814B31B4}" id="{4799AAB2-427F-4CBE-BE99-6BD8AE30065A}">
    <text>Indiquer un format d'heure Excel soit "heure : minutes" (Ex : 11:25) et valider</text>
  </threadedComment>
  <threadedComment ref="H6" dT="2020-02-28T16:41:19.37" personId="{EABD1D9A-F56B-42C4-898E-CC20814B31B4}" id="{6FE366B1-330B-4670-9E07-7B368702BE38}">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7" dT="2020-02-28T16:41:19.37" personId="{EABD1D9A-F56B-42C4-898E-CC20814B31B4}" id="{26789F1A-AEE3-47B4-9670-0CA9A70AA3A3}">
    <text>Indiquez la durée prévue en minute pour le trajet total.</text>
  </threadedComment>
  <threadedComment ref="C8" dT="2020-02-29T08:47:41.83" personId="{EABD1D9A-F56B-42C4-898E-CC20814B31B4}" id="{573C189C-8A6C-4536-8424-5C7F356B458E}">
    <text>Indiquer le poids du CDB habillé</text>
  </threadedComment>
  <threadedComment ref="M8" dT="2020-09-23T05:03:46.61" personId="{EABD1D9A-F56B-42C4-898E-CC20814B31B4}" id="{08BD3BE5-1C1C-4A29-8CD6-D9856AD97255}">
    <text>Indiquer la quantité de carburant existante dans le réservoir de l'aile droite.
Entre parenthèse figure le litrage maximum admissible dans le réservoir.</text>
  </threadedComment>
  <threadedComment ref="C9" dT="2020-02-29T08:48:31.92" personId="{EABD1D9A-F56B-42C4-898E-CC20814B31B4}" id="{38F5B659-A77C-43A7-A225-2288FBD15D8A}">
    <text>Indiquer le poids du copilote habillé</text>
  </threadedComment>
  <threadedComment ref="M9" dT="2020-09-23T05:03:46.61" personId="{EABD1D9A-F56B-42C4-898E-CC20814B31B4}" id="{1B4C9429-D031-42A4-962A-77FE8C844995}">
    <text>Indiquer la quantité de carburant existante dans le réservoir de l'aile gauche.
Entre parenthèse figure le litrage maximum admissible dans le réservoir.</text>
  </threadedComment>
  <threadedComment ref="C10" dT="2020-02-29T08:49:04.27" personId="{EABD1D9A-F56B-42C4-898E-CC20814B31B4}" id="{84198EAA-9F6E-401E-8343-6D92B642F3A7}">
    <text>Indiquer le poids du passager arrière 1 habillé</text>
  </threadedComment>
  <threadedComment ref="C11" dT="2020-02-29T08:50:36.87" personId="{EABD1D9A-F56B-42C4-898E-CC20814B31B4}" id="{8C96F141-BF23-4970-8EDF-962AD9247508}">
    <text>Indiquer le poids du passager arrière 2 habillé</text>
  </threadedComment>
  <threadedComment ref="C12" dT="2020-02-29T08:51:10.85" personId="{EABD1D9A-F56B-42C4-898E-CC20814B31B4}" id="{EBDA0A25-4352-43B3-B351-3EE2BF14A6D1}">
    <text>Poids total des bagages compartiment AV (maxi 54 kg)</text>
  </threadedComment>
  <threadedComment ref="M16" dT="2020-02-28T16:45:59.15" personId="{EABD1D9A-F56B-42C4-898E-CC20814B31B4}" id="{2CABC944-D47D-4F3F-8A59-9FE0FD041A77}">
    <text>Quantité nécessaire depuis l'aérodrome de départ jusqu'à celui d'arrivée sur le trajet le plus pénalisant à VP de croisière.</text>
  </threadedComment>
  <threadedComment ref="M17" dT="2020-02-28T16:46:21.94" personId="{EABD1D9A-F56B-42C4-898E-CC20814B31B4}" id="{4B6FC265-5D0C-4F19-9C9F-5DB4522D4D45}">
    <text>Forfait de 10 mn de vol par aérodrome prévu permettant l'intégration et le tour de piste.</text>
  </threadedComment>
  <threadedComment ref="M18" dT="2020-02-28T16:44:10.59" personId="{EABD1D9A-F56B-42C4-898E-CC20814B31B4}" id="{E1886E19-47A3-40B6-BE4B-2CDF800E8DA5}">
    <text>Total du carburant normalement consommé pendant le vol (1+2).</text>
  </threadedComment>
  <threadedComment ref="M19" dT="2020-02-28T16:48:05.92" personId="{EABD1D9A-F56B-42C4-898E-CC20814B31B4}" id="{F07D0943-1E63-4B5E-A864-F8A1AAFC8176}">
    <text>Sélectionnez  Jour ou Nuit en fonction du type de vol effectué.</text>
  </threadedComment>
  <threadedComment ref="M20" dT="2020-02-28T16:43:41.71" personId="{EABD1D9A-F56B-42C4-898E-CC20814B31B4}" id="{C66A3A1A-7EE5-4D6B-B95D-625108AF6703}">
    <text>Réserve de 30 mn de vol de jour ou de 45 mn de nuit en croisière économique pour l'exploitation générale.</text>
  </threadedComment>
  <threadedComment ref="M22" dT="2020-02-29T14:10:34.42" personId="{EABD1D9A-F56B-42C4-898E-CC20814B31B4}" id="{056F43BB-9B7B-43D1-B756-3A7CBFE83DE5}">
    <text>Consommation estimée lors du roulage correspondant à 10 mn de la consommation horaire moyenne.</text>
  </threadedComment>
  <threadedComment ref="M23" dT="2020-02-29T14:10:34.42" personId="{EABD1D9A-F56B-42C4-898E-CC20814B31B4}" id="{25FBD88E-E2CF-4486-84DC-7877A134C2A7}">
    <text>Pourcentage % de carburant supplémentaire pour assurer le délestage et le roulage (numérotées 1, 2 &amp; 4).</text>
  </threadedComment>
  <threadedComment ref="M24" dT="2020-03-01T14:47:18.96" personId="{EABD1D9A-F56B-42C4-898E-CC20814B31B4}" id="{020ED874-4C2B-4E10-B6CE-69B387FEA8B4}">
    <text>Carburant nécessaire pour effectuer le vol spécifié dans le cartouche "Données du vol"</text>
  </threadedComment>
  <threadedComment ref="M25" dT="2020-03-01T14:47:18.96" personId="{EABD1D9A-F56B-42C4-898E-CC20814B31B4}" id="{DF41D3C0-4DD9-4439-B2CF-223EB0BAEF61}">
    <text>La consommation horaire moyenne finale inclus les différentes corrections (délestage &amp; roulage) excepté la réserve finale.</text>
  </threadedComment>
  <threadedComment ref="M26" dT="2020-03-01T14:47:18.96" personId="{EABD1D9A-F56B-42C4-898E-CC20814B31B4}" id="{D46B206D-976C-49D6-A669-5F7145F31FFA}">
    <text>Attention ! Le restant théorique total à l'arrivée correspond au total de carburant restant dans le réservoir y compris le non utilisable.</text>
  </threadedComment>
  <threadedComment ref="M27" dT="2020-03-01T14:47:18.96" personId="{EABD1D9A-F56B-42C4-898E-CC20814B31B4}" id="{062316B9-73A3-41F2-929E-4DB6C5C6BDB6}">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4.xml><?xml version="1.0" encoding="utf-8"?>
<ThreadedComments xmlns="http://schemas.microsoft.com/office/spreadsheetml/2018/threadedcomments" xmlns:x="http://schemas.openxmlformats.org/spreadsheetml/2006/main">
  <threadedComment ref="B3" dT="2020-02-28T16:45:59.15" personId="{EABD1D9A-F56B-42C4-898E-CC20814B31B4}" id="{1231923F-4E0F-445E-B265-D0A5A2B0934F}">
    <text>Indiquer un format date Excel soit "jj/mm" et valider.
L'année en cours sera automatiquement prise en compte.
(Ex : 19/09 affichera 19/09/2020</text>
  </threadedComment>
  <threadedComment ref="H3" dT="2020-02-28T16:45:59.15" personId="{EABD1D9A-F56B-42C4-898E-CC20814B31B4}" id="{732B5D00-CADA-4258-96B7-DFF38B94A797}">
    <text>Indiquer un format d'heure Excel soit "heure : minutes" (Ex : 11:25) et valider</text>
  </threadedComment>
  <threadedComment ref="B8" dT="2020-02-29T08:47:41.83" personId="{EABD1D9A-F56B-42C4-898E-CC20814B31B4}" id="{FFCDE4B8-ACF8-4CB5-BAB7-EE1C34E65882}">
    <text>Indiquer le poids du CDB habillé</text>
  </threadedComment>
  <threadedComment ref="M8" dT="2020-09-23T05:03:46.61" personId="{EABD1D9A-F56B-42C4-898E-CC20814B31B4}" id="{D82A9B66-7328-41AC-9731-46E9034780D4}">
    <text>Indiquer la quantité de carburant existante dans le réservoir principal.
Entre parenthèse figure le litrage maximum admissible dans le réservoir.</text>
  </threadedComment>
  <threadedComment ref="B9" dT="2020-02-29T08:48:31.92" personId="{EABD1D9A-F56B-42C4-898E-CC20814B31B4}" id="{A936E81C-4178-4B98-8908-EB94F05AFC4F}">
    <text>Indiquer le poids du copilote habillé</text>
  </threadedComment>
  <threadedComment ref="M9" dT="2020-09-23T05:03:46.61" personId="{EABD1D9A-F56B-42C4-898E-CC20814B31B4}" id="{49677982-E9A4-4C8A-8FAB-99F8CED32CCC}">
    <text>Indiquer la quantité de carburant existante dans le réservoir secondaire.
Entre parenthèse figure le litrage maximum admissible dans le réservoir.</text>
  </threadedComment>
  <threadedComment ref="B10" dT="2020-02-29T08:49:04.27" personId="{EABD1D9A-F56B-42C4-898E-CC20814B31B4}" id="{19DDE0DD-6359-4DAE-83E7-D6FEB387E131}">
    <text>Indiquer le poids du passager arrière 1 habillé</text>
  </threadedComment>
  <threadedComment ref="B11" dT="2020-02-29T08:50:36.87" personId="{EABD1D9A-F56B-42C4-898E-CC20814B31B4}" id="{1BFEA419-6AC2-4848-A5A8-54F334640D6E}">
    <text>Indiquer le poids du passager arrière 2 habillé</text>
  </threadedComment>
  <threadedComment ref="B12" dT="2020-02-29T08:51:10.85" personId="{EABD1D9A-F56B-42C4-898E-CC20814B31B4}" id="{2A82EDAD-8E0E-4D6A-9010-496EAB4C4989}">
    <text>Poids total des bagages</text>
  </threadedComment>
  <threadedComment ref="H16" dT="2020-02-28T16:41:19.37" personId="{EABD1D9A-F56B-42C4-898E-CC20814B31B4}" id="{0AAFF31E-948A-43F4-B506-C2A06553991A}">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M16" dT="2020-02-28T16:45:59.15" personId="{EABD1D9A-F56B-42C4-898E-CC20814B31B4}" id="{E40F23C5-EA6B-4302-B395-4F2A97982D56}">
    <text>Quantité nécessaire depuis l'aérodrome de départ jusqu'à celui d'arrivée sur le trajet le plus pénalisant à VP de croisière.</text>
  </threadedComment>
  <threadedComment ref="H17" dT="2020-02-28T16:41:19.37" personId="{EABD1D9A-F56B-42C4-898E-CC20814B31B4}" id="{5C37D040-E9C1-4ED8-AFED-693336E85051}">
    <text>Indiquez la durée prévue en minute pour le trajet total.</text>
  </threadedComment>
  <threadedComment ref="M17" dT="2020-02-28T16:46:21.94" personId="{EABD1D9A-F56B-42C4-898E-CC20814B31B4}" id="{5AB644F4-40F6-429B-BC01-F43E7A27BAF3}">
    <text>Forfait de 10 mn de vol par aérodrome prévu permettant l'intégration et le tour de piste.</text>
  </threadedComment>
  <threadedComment ref="H18" dT="2020-02-28T16:42:25.13" personId="{EABD1D9A-F56B-42C4-898E-CC20814B31B4}" id="{B1A8ABA1-7702-4A52-A40B-433BD7933D48}">
    <text>Indiquez le nombre d'aérodromes prévus d'atterrir pendant le trajet.
Minimum 1 équivalent à l'aérodrome de destination.</text>
  </threadedComment>
  <threadedComment ref="M18" dT="2020-02-28T16:44:10.59" personId="{EABD1D9A-F56B-42C4-898E-CC20814B31B4}" id="{8D6976E4-C42B-4A7F-BB94-247C351CCE92}">
    <text>Total du carburant normalement consommé pendant le vol (1+2).</text>
  </threadedComment>
  <threadedComment ref="M19" dT="2020-02-28T16:48:05.92" personId="{EABD1D9A-F56B-42C4-898E-CC20814B31B4}" id="{8EA4959E-B732-494E-836D-E50110B8920D}">
    <text>Sélectionnez  Jour ou Nuit en fonction du type de vol effectué.</text>
  </threadedComment>
  <threadedComment ref="M20" dT="2020-02-28T16:43:41.71" personId="{EABD1D9A-F56B-42C4-898E-CC20814B31B4}" id="{8E24621E-43F5-4CBC-A245-4D238A749D12}">
    <text>Réserve de 30 mn de vol de jour ou de 45 mn de nuit en croisière économique pour l'exploitation générale.</text>
  </threadedComment>
  <threadedComment ref="M22" dT="2020-02-29T14:10:34.42" personId="{EABD1D9A-F56B-42C4-898E-CC20814B31B4}" id="{44A5DB96-2F57-47B3-8C21-4DA08995E3C8}">
    <text>Consommation estimée lors du roulage correspondant à 10 mn de la consommation horaire moyenne.</text>
  </threadedComment>
  <threadedComment ref="M23" dT="2020-02-29T14:10:34.42" personId="{EABD1D9A-F56B-42C4-898E-CC20814B31B4}" id="{7486CA2F-16BA-4425-B9B3-32F6F6AF4723}">
    <text>Pourcentage % de carburant supplémentaire pour assurer le délestage et le roulage (numérotées 1, 2 &amp; 4).</text>
  </threadedComment>
  <threadedComment ref="M24" dT="2020-03-01T14:47:18.96" personId="{EABD1D9A-F56B-42C4-898E-CC20814B31B4}" id="{D1EE2438-E83E-4513-B335-A35D5A005ACF}">
    <text>Carburant nécessaire pour effectuer le vol spécifié dans le cartouche "Données du vol"</text>
  </threadedComment>
  <threadedComment ref="M25" dT="2020-03-01T14:47:18.96" personId="{EABD1D9A-F56B-42C4-898E-CC20814B31B4}" id="{622F6863-2D56-4CB6-BD5F-24910F0C8A36}">
    <text>La consommation horaire moyenne finale inclus les différentes corrections (délestage &amp; roulage) excepté la réserve finale.</text>
  </threadedComment>
  <threadedComment ref="M26" dT="2020-03-01T14:47:18.96" personId="{EABD1D9A-F56B-42C4-898E-CC20814B31B4}" id="{CB127D56-AFF6-4044-9287-3EB162551931}">
    <text>Attention ! Le restant théorique total à l'arrivée correspond au total de carburant restant dans le réservoir y compris le non utilisable.</text>
  </threadedComment>
  <threadedComment ref="M27" dT="2020-03-01T14:47:18.96" personId="{EABD1D9A-F56B-42C4-898E-CC20814B31B4}" id="{2F3174EE-2509-4B3F-B2AD-7BCFF1ED9C38}">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5.xml><?xml version="1.0" encoding="utf-8"?>
<ThreadedComments xmlns="http://schemas.microsoft.com/office/spreadsheetml/2018/threadedcomments" xmlns:x="http://schemas.openxmlformats.org/spreadsheetml/2006/main">
  <threadedComment ref="B3" dT="2020-02-28T16:45:59.15" personId="{EABD1D9A-F56B-42C4-898E-CC20814B31B4}" id="{0CF43877-9C0A-4EE0-A32D-C2860925A87F}">
    <text>Indiquer un format date Excel soit "jj/mm" et valider.
L'année en cours sera automatiquement prise en compte.
(Ex : 19/09 affichera 19/09/2020</text>
  </threadedComment>
  <threadedComment ref="H3" dT="2020-02-28T16:45:59.15" personId="{EABD1D9A-F56B-42C4-898E-CC20814B31B4}" id="{0305E28B-E1D1-4B22-8E42-D33DC1950F6C}">
    <text>Indiquer un format d'heure Excel soit "heure : minutes" (Ex : 11:25) et valider</text>
  </threadedComment>
  <threadedComment ref="B8" dT="2020-02-29T08:47:41.83" personId="{EABD1D9A-F56B-42C4-898E-CC20814B31B4}" id="{E09A2E62-58E7-4D08-BDF0-3341BA458CB5}">
    <text>Indiquer le poids du CDB habillé</text>
  </threadedComment>
  <threadedComment ref="E8" dT="2020-02-29T08:47:41.83" personId="{EABD1D9A-F56B-42C4-898E-CC20814B31B4}" id="{0FB76792-E074-456F-8354-A0084C1693B9}">
    <text>Bras de levier du siège avant
En fonction de la position des sièges avant (Avant, mileiu, arrière) sélectionnez le bras de levier correspondant</text>
  </threadedComment>
  <threadedComment ref="M8" dT="2020-09-23T05:03:46.61" personId="{EABD1D9A-F56B-42C4-898E-CC20814B31B4}" id="{5586AD28-FC3E-4879-9E0D-30DFD30A89EB}">
    <text>Indiquer la quantité de carburant existante dans le réservoir de l'aile gauche.
Entre parenthèse figure le litrage maximum admissible dans le réservoir.</text>
  </threadedComment>
  <threadedComment ref="B9" dT="2020-02-29T08:48:31.92" personId="{EABD1D9A-F56B-42C4-898E-CC20814B31B4}" id="{1888D63E-C87B-456E-8A14-65900F4E38C9}">
    <text>Indiquer le poids du copilote habillé</text>
  </threadedComment>
  <threadedComment ref="E9" dT="2020-02-29T08:47:41.83" personId="{EABD1D9A-F56B-42C4-898E-CC20814B31B4}" id="{DB6087B5-88EC-4776-A47F-4E280419DF48}">
    <text>Bras de levier du siège avant
En fonction de la position des sièges avant (Avant, mileiu, arrière) sélectionnez le bras de levier correspondant</text>
  </threadedComment>
  <threadedComment ref="M9" dT="2020-09-23T05:03:46.61" personId="{EABD1D9A-F56B-42C4-898E-CC20814B31B4}" id="{072700F8-FE49-4676-8881-19D756307B8F}">
    <text>Indiquer la quantité de carburant existante dans le réservoir de l'aile gauche.
Entre parenthèse figure le litrage maximum admissible dans le réservoir.</text>
  </threadedComment>
  <threadedComment ref="B10" dT="2020-02-29T08:51:10.85" personId="{EABD1D9A-F56B-42C4-898E-CC20814B31B4}" id="{C1BB2A9E-0559-4CF0-AE57-84447BE0F356}">
    <text>Poids total des bagages (Maximum 40 kg)</text>
  </threadedComment>
  <threadedComment ref="H15" dT="2020-02-28T16:41:19.37" personId="{EABD1D9A-F56B-42C4-898E-CC20814B31B4}" id="{D6026C3E-8EAE-4E20-BA9D-EC3C8BDFDE75}">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16" dT="2020-02-28T16:41:19.37" personId="{EABD1D9A-F56B-42C4-898E-CC20814B31B4}" id="{57995D58-5544-41E0-986B-32841D504044}">
    <text>Indiquez la durée prévue en minute pour le trajet total.</text>
  </threadedComment>
  <threadedComment ref="M16" dT="2020-02-28T16:45:59.15" personId="{EABD1D9A-F56B-42C4-898E-CC20814B31B4}" id="{FC10322C-B3B9-4912-97F3-81A578734DB7}">
    <text>Quantité nécessaire depuis l'aérodrome de départ jusqu'à celui d'arrivée sur le trajet le plus pénalisant à VP de croisière.</text>
  </threadedComment>
  <threadedComment ref="H17" dT="2020-02-28T16:42:25.13" personId="{EABD1D9A-F56B-42C4-898E-CC20814B31B4}" id="{E85C3AA2-ADD7-4E7D-BEDA-1CF6ABE80B2D}">
    <text>Indiquez le nombre d'aérodromes prévus d'atterrir pendant le trajet.
Minimum 1 équivalent à l'aérodrome de destination.</text>
  </threadedComment>
  <threadedComment ref="M17" dT="2020-02-28T16:46:21.94" personId="{EABD1D9A-F56B-42C4-898E-CC20814B31B4}" id="{EAAD5BB1-8046-4FF4-9CA2-B8C3937F80CE}">
    <text>Forfait de 10 mn de vol par aérodrome prévu permettant l'intégration et le tour de piste.</text>
  </threadedComment>
  <threadedComment ref="M18" dT="2020-02-28T16:44:10.59" personId="{EABD1D9A-F56B-42C4-898E-CC20814B31B4}" id="{F5CEC4E3-23FD-4F87-89A1-ECFC8EABFAE1}">
    <text>Total du carburant normalement consommé pendant le vol (1+2).</text>
  </threadedComment>
  <threadedComment ref="M19" dT="2020-02-28T16:48:05.92" personId="{EABD1D9A-F56B-42C4-898E-CC20814B31B4}" id="{86E41B57-C293-4628-A2E7-68691611117B}">
    <text>Sélectionnez  Jour ou Nuit en fonction du type de vol effectué.</text>
  </threadedComment>
  <threadedComment ref="M20" dT="2020-02-28T16:43:41.71" personId="{EABD1D9A-F56B-42C4-898E-CC20814B31B4}" id="{E1971B82-9EB6-4452-8DB4-1255E5A98956}">
    <text>Réserve de 30 mn de vol de jour ou de 45 mn de nuit en croisière économique pour l'exploitation générale.</text>
  </threadedComment>
  <threadedComment ref="M22" dT="2020-02-29T14:10:34.42" personId="{EABD1D9A-F56B-42C4-898E-CC20814B31B4}" id="{36011977-8569-4EFC-B0BA-07A6584F51A5}">
    <text>Consommation estimée lors du roulage correspondant à 10 mn de la consommation horaire moyenne.</text>
  </threadedComment>
  <threadedComment ref="M23" dT="2020-02-29T14:10:34.42" personId="{EABD1D9A-F56B-42C4-898E-CC20814B31B4}" id="{470CAE1E-5DC7-4D32-89DF-248122532412}">
    <text>Pourcentage % de carburant supplémentaire pour assurer le délestage et le roulage (numérotées 1, 2 &amp; 4).</text>
  </threadedComment>
  <threadedComment ref="M24" dT="2020-03-01T14:47:18.96" personId="{EABD1D9A-F56B-42C4-898E-CC20814B31B4}" id="{2254E014-7DCE-4C6F-A5FD-48C4AA95FA57}">
    <text>Carburant nécessaire pour effectuer le vol spécifié dans le cartouche "Données du vol"</text>
  </threadedComment>
  <threadedComment ref="M25" dT="2020-03-01T14:47:18.96" personId="{EABD1D9A-F56B-42C4-898E-CC20814B31B4}" id="{E26369AE-E962-4F99-AFAB-65EDA8257578}">
    <text>La consommation horaire moyenne finale inclus les différentes corrections (délestage &amp; roulage) excepté la réserve finale.</text>
  </threadedComment>
  <threadedComment ref="M26" dT="2020-03-01T14:47:18.96" personId="{EABD1D9A-F56B-42C4-898E-CC20814B31B4}" id="{2666BC60-4579-40DD-92AD-E76F35FF2200}">
    <text>Attention ! Le restant théorique total à l'arrivée correspond au total de carburant restant dans le réservoir y compris le non utilisable.</text>
  </threadedComment>
  <threadedComment ref="M27" dT="2020-03-01T14:47:18.96" personId="{EABD1D9A-F56B-42C4-898E-CC20814B31B4}" id="{A9E65768-F520-4E60-A308-6A231A8033FC}">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6.xml><?xml version="1.0" encoding="utf-8"?>
<ThreadedComments xmlns="http://schemas.microsoft.com/office/spreadsheetml/2018/threadedcomments" xmlns:x="http://schemas.openxmlformats.org/spreadsheetml/2006/main">
  <threadedComment ref="B3" dT="2020-02-28T16:45:59.15" personId="{EABD1D9A-F56B-42C4-898E-CC20814B31B4}" id="{78A39445-939F-4245-9355-5BBD6B0990C3}">
    <text>Indiquer un format date Excel soit "jj/mm" et valider.
L'année en cours sera automatiquement prise en compte.
(Ex : 19/09 affichera 19/09/2020</text>
  </threadedComment>
  <threadedComment ref="H3" dT="2020-02-28T16:45:59.15" personId="{EABD1D9A-F56B-42C4-898E-CC20814B31B4}" id="{02823BB1-8D5F-4307-AA9B-D13213BF39D2}">
    <text>Indiquer un format d'heure Excel soit "heure : minutes" (Ex : 11:25) et valider</text>
  </threadedComment>
  <threadedComment ref="B8" dT="2020-02-29T08:47:41.83" personId="{EABD1D9A-F56B-42C4-898E-CC20814B31B4}" id="{41CFABA2-9E7A-4399-992D-C4B0096E3428}">
    <text>Indiquer le poids du CDB habillé</text>
  </threadedComment>
  <threadedComment ref="E8" dT="2020-02-29T08:47:41.83" personId="{EABD1D9A-F56B-42C4-898E-CC20814B31B4}" id="{15DF5830-21DE-4A39-90EA-6512D34FCC1A}">
    <text>Bras de levier du siège avant
En fonction de la position des sièges avant (Avant, mileiu, arrière) sélectionnez le bras de levier correspondant</text>
  </threadedComment>
  <threadedComment ref="M8" dT="2020-09-23T05:03:46.61" personId="{EABD1D9A-F56B-42C4-898E-CC20814B31B4}" id="{A1AD1B98-9FA5-4629-9465-7FE7586ED99D}">
    <text>Indiquer la quantité de carburant existante dans le réservoir de l'aile gauche.
Entre parenthèse figure le litrage maximum admissible dans le réservoir.</text>
  </threadedComment>
  <threadedComment ref="B9" dT="2020-02-29T08:48:31.92" personId="{EABD1D9A-F56B-42C4-898E-CC20814B31B4}" id="{931382A4-453C-4D69-99E6-84388EF0D9EE}">
    <text>Indiquer le poids du copilote habillé</text>
  </threadedComment>
  <threadedComment ref="E9" dT="2020-02-29T08:47:41.83" personId="{EABD1D9A-F56B-42C4-898E-CC20814B31B4}" id="{3ABC3AB4-332F-40E8-869F-1FCCC86A9C03}">
    <text>Bras de levier du siège avant
En fonction de la position des sièges avant (Avant, mileiu, arrière) sélectionnez le bras de levier correspondant</text>
  </threadedComment>
  <threadedComment ref="M9" dT="2020-09-23T05:03:46.61" personId="{EABD1D9A-F56B-42C4-898E-CC20814B31B4}" id="{041222DF-2A35-460A-9682-666E68993069}">
    <text>Indiquer la quantité de carburant existante dans le réservoir de l'aile gauche.
Entre parenthèse figure le litrage maximum admissible dans le réservoir.</text>
  </threadedComment>
  <threadedComment ref="B10" dT="2020-02-29T08:51:10.85" personId="{EABD1D9A-F56B-42C4-898E-CC20814B31B4}" id="{3F87FAF9-A707-4E80-B805-6C0209A52773}">
    <text>Poids total des bagages (Maximum 40 kg)</text>
  </threadedComment>
  <threadedComment ref="H15" dT="2020-02-28T16:41:19.37" personId="{EABD1D9A-F56B-42C4-898E-CC20814B31B4}" id="{BD58CD91-DF51-4046-9AC5-832F93AAE33B}">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16" dT="2020-02-28T16:41:19.37" personId="{EABD1D9A-F56B-42C4-898E-CC20814B31B4}" id="{D3D85585-31CA-4DB8-9B9E-C7709BF077C9}">
    <text>Indiquez la durée prévue en minute pour le trajet total.</text>
  </threadedComment>
  <threadedComment ref="M16" dT="2020-02-28T16:45:59.15" personId="{EABD1D9A-F56B-42C4-898E-CC20814B31B4}" id="{53666B33-17B6-40E7-886B-C1A62F8FFD26}">
    <text>Quantité nécessaire depuis l'aérodrome de départ jusqu'à celui d'arrivée sur le trajet le plus pénalisant à VP de croisière.</text>
  </threadedComment>
  <threadedComment ref="H17" dT="2020-02-28T16:42:25.13" personId="{EABD1D9A-F56B-42C4-898E-CC20814B31B4}" id="{C09486D6-B616-40DB-9F01-C724557CCD4F}">
    <text>Indiquez le nombre d'aérodromes prévus d'atterrir pendant le trajet.
Minimum 1 équivalent à l'aérodrome de destination.</text>
  </threadedComment>
  <threadedComment ref="M17" dT="2020-02-28T16:46:21.94" personId="{EABD1D9A-F56B-42C4-898E-CC20814B31B4}" id="{26CE29DE-F63C-46E4-AF73-F0F4559DDF5C}">
    <text>Forfait de 10 mn de vol par aérodrome prévu permettant l'intégration et le tour de piste.</text>
  </threadedComment>
  <threadedComment ref="M18" dT="2020-02-28T16:44:10.59" personId="{EABD1D9A-F56B-42C4-898E-CC20814B31B4}" id="{47092395-73D8-47F1-9724-8FECB70E5809}">
    <text>Total du carburant normalement consommé pendant le vol (1+2).</text>
  </threadedComment>
  <threadedComment ref="M19" dT="2020-02-28T16:48:05.92" personId="{EABD1D9A-F56B-42C4-898E-CC20814B31B4}" id="{6A677F24-57D6-40D5-957E-21F0470C5EE8}">
    <text>Sélectionnez  Jour ou Nuit en fonction du type de vol effectué.</text>
  </threadedComment>
  <threadedComment ref="M20" dT="2020-02-28T16:43:41.71" personId="{EABD1D9A-F56B-42C4-898E-CC20814B31B4}" id="{9BA9A4B3-1285-4CA1-9278-1EE476BB9CB2}">
    <text>Réserve de 30 mn de vol de jour ou de 45 mn de nuit en croisière économique pour l'exploitation générale.</text>
  </threadedComment>
  <threadedComment ref="M22" dT="2020-02-29T14:10:34.42" personId="{EABD1D9A-F56B-42C4-898E-CC20814B31B4}" id="{AF2AF625-FC38-43F2-B2EA-1AC2F1DBF18C}">
    <text>Consommation estimée lors du roulage correspondant à 10 mn de la consommation horaire moyenne.</text>
  </threadedComment>
  <threadedComment ref="M23" dT="2020-02-29T14:10:34.42" personId="{EABD1D9A-F56B-42C4-898E-CC20814B31B4}" id="{03A95060-8429-4250-BC42-08AF6E9E90D9}">
    <text>Pourcentage % de carburant supplémentaire pour assurer le délestage et le roulage (numérotées 1, 2 &amp; 4).</text>
  </threadedComment>
  <threadedComment ref="M24" dT="2020-03-01T14:47:18.96" personId="{EABD1D9A-F56B-42C4-898E-CC20814B31B4}" id="{58374E82-2C59-4966-BCFB-8A2AB9B9C1EC}">
    <text>Carburant nécessaire pour effectuer le vol spécifié dans le cartouche "Données du vol"</text>
  </threadedComment>
  <threadedComment ref="M25" dT="2020-03-01T14:47:18.96" personId="{EABD1D9A-F56B-42C4-898E-CC20814B31B4}" id="{E006C906-7B4F-4D84-A33D-278CE220A7F0}">
    <text>La consommation horaire moyenne finale inclus les différentes corrections (délestage &amp; roulage) excepté la réserve finale.</text>
  </threadedComment>
  <threadedComment ref="M26" dT="2020-03-01T14:47:18.96" personId="{EABD1D9A-F56B-42C4-898E-CC20814B31B4}" id="{1EDF03B2-7475-41F4-BA6E-725ABB2FF786}">
    <text>Attention ! Le restant théorique total à l'arrivée correspond au total de carburant restant dans le réservoir y compris le non utilisable.</text>
  </threadedComment>
  <threadedComment ref="M27" dT="2020-03-01T14:47:18.96" personId="{EABD1D9A-F56B-42C4-898E-CC20814B31B4}" id="{6E7100E1-2060-47AA-B010-672CF88D8ED4}">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7.xml><?xml version="1.0" encoding="utf-8"?>
<ThreadedComments xmlns="http://schemas.microsoft.com/office/spreadsheetml/2018/threadedcomments" xmlns:x="http://schemas.openxmlformats.org/spreadsheetml/2006/main">
  <threadedComment ref="B3" dT="2020-02-28T16:45:59.15" personId="{EABD1D9A-F56B-42C4-898E-CC20814B31B4}" id="{65E24B83-E487-4BB5-857A-2E706DC582A2}">
    <text>Indiquer un format date Excel soit "jj/mm" et valider.
L'année en cours sera automatiquement prise en compte.
(Ex : 19/09 affichera 19/09/2020</text>
  </threadedComment>
  <threadedComment ref="H3" dT="2020-02-28T16:45:59.15" personId="{EABD1D9A-F56B-42C4-898E-CC20814B31B4}" id="{C53BDF0A-E546-4219-8A9B-0182C81B3278}">
    <text>Indiquer un format d'heure Excel soit "heure : minutes" (Ex : 11:25) et valider</text>
  </threadedComment>
  <threadedComment ref="H6" dT="2020-02-28T16:41:19.37" personId="{EABD1D9A-F56B-42C4-898E-CC20814B31B4}" id="{02FBD1D5-96B6-4652-8330-6B5E0293B9E4}">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B8" dT="2020-02-29T08:47:41.83" personId="{EABD1D9A-F56B-42C4-898E-CC20814B31B4}" id="{D5DEB213-E389-481D-A3C5-40AB38CC9325}">
    <text>Indiquer le poids du CDB habillé</text>
  </threadedComment>
  <threadedComment ref="H8" dT="2020-02-28T16:41:19.37" personId="{EABD1D9A-F56B-42C4-898E-CC20814B31B4}" id="{83259B5A-7A04-46B9-9202-C735022C4D60}">
    <text>Indiquez la durée prévue en minute pour le trajet total.</text>
  </threadedComment>
  <threadedComment ref="M8" dT="2020-09-23T05:03:46.61" personId="{EABD1D9A-F56B-42C4-898E-CC20814B31B4}" id="{6248B69C-EA70-4FD2-A6C5-477EB9B2F921}">
    <text>Indiquer la quantité de carburant existante dans le réservoir de l'aile droite.
Entre parenthèse figure le litrage maximum admissible dans le réservoir.</text>
  </threadedComment>
  <threadedComment ref="B9" dT="2020-02-29T08:48:31.92" personId="{EABD1D9A-F56B-42C4-898E-CC20814B31B4}" id="{E409A30C-2A95-432D-BB34-F02150F42811}">
    <text>Indiquer le poids du copilote habillé</text>
  </threadedComment>
  <threadedComment ref="H9" dT="2020-02-28T16:42:25.13" personId="{EABD1D9A-F56B-42C4-898E-CC20814B31B4}" id="{15F4D701-394D-4024-A770-56237859B52E}">
    <text>Indiquez le nombre d'aérodromes prévus d'atterrir pendant le trajet.
Minimum 1 équivalent à l'aérodrome de destination.</text>
  </threadedComment>
  <threadedComment ref="M9" dT="2020-09-23T05:03:46.61" personId="{EABD1D9A-F56B-42C4-898E-CC20814B31B4}" id="{703EEFE7-C3A2-40B3-A566-5163F7017F8E}">
    <text>Indiquer la quantité de carburant existante dans le réservoir de l'aile gauche.
Entre parenthèse figure le litrage maximum admissible dans le réservoir.</text>
  </threadedComment>
  <threadedComment ref="B10" dT="2020-02-29T08:49:04.27" personId="{EABD1D9A-F56B-42C4-898E-CC20814B31B4}" id="{385F705A-F120-4E19-9A03-D1EB58595183}">
    <text>Indiquer le poids du passager arrière 1 habillé</text>
  </threadedComment>
  <threadedComment ref="B11" dT="2020-02-29T08:50:36.87" personId="{EABD1D9A-F56B-42C4-898E-CC20814B31B4}" id="{0E211B92-7389-47E6-99CE-5B5DAF4EE2BD}">
    <text>Indiquer le poids du passager arrière 2 habillé</text>
  </threadedComment>
  <threadedComment ref="B12" dT="2020-02-29T08:51:10.85" personId="{EABD1D9A-F56B-42C4-898E-CC20814B31B4}" id="{E78795F9-D1E2-42FA-BCCF-A998AA7E25DA}">
    <text>Poids total des bagages</text>
  </threadedComment>
  <threadedComment ref="M16" dT="2020-02-28T16:45:59.15" personId="{EABD1D9A-F56B-42C4-898E-CC20814B31B4}" id="{4D679B8E-0A3E-4A10-A1F2-2E987E0360A9}">
    <text>Quantité nécessaire depuis l'aérodrome de départ jusqu'à celui d'arrivée sur le trajet le plus pénalisant à VP de croisière.</text>
  </threadedComment>
  <threadedComment ref="M17" dT="2020-02-28T16:46:21.94" personId="{EABD1D9A-F56B-42C4-898E-CC20814B31B4}" id="{79984F60-8478-41AC-B86F-8C13BC39C599}">
    <text>Forfait de 10 mn de vol par aérodrome prévu permettant l'intégration et le tour de piste.</text>
  </threadedComment>
  <threadedComment ref="M18" dT="2020-02-28T16:44:10.59" personId="{EABD1D9A-F56B-42C4-898E-CC20814B31B4}" id="{538A836B-32FB-43AE-9FC5-7A9B57577C94}">
    <text>Total du carburant normalement consommé pendant le vol (1+2).</text>
  </threadedComment>
  <threadedComment ref="M19" dT="2020-02-28T16:48:05.92" personId="{EABD1D9A-F56B-42C4-898E-CC20814B31B4}" id="{D1B6947F-389A-4680-A89F-76DC7F651B69}">
    <text>Sélectionnez  Jour ou Nuit en fonction du type de vol effectué.</text>
  </threadedComment>
  <threadedComment ref="M20" dT="2020-02-28T16:43:41.71" personId="{EABD1D9A-F56B-42C4-898E-CC20814B31B4}" id="{4246A0F8-46E1-4A46-A078-950614BFB0B2}">
    <text>Réserve de 30 mn de vol de jour ou de 45 mn de nuit en croisière économique pour l'exploitation générale.</text>
  </threadedComment>
  <threadedComment ref="M22" dT="2020-02-29T14:10:34.42" personId="{EABD1D9A-F56B-42C4-898E-CC20814B31B4}" id="{770C8837-9993-4D05-9C4D-0A9D8DE08643}">
    <text>Consommation estimée lors du roulage correspondant à 10 mn de la consommation horaire moyenne.</text>
  </threadedComment>
  <threadedComment ref="M23" dT="2020-02-29T14:10:34.42" personId="{EABD1D9A-F56B-42C4-898E-CC20814B31B4}" id="{8B2F90E8-F91A-452F-8650-F1ED46939352}">
    <text>Pourcentage % de carburant supplémentaire pour assurer le délestage et le roulage (numérotées 1, 2 &amp; 4).</text>
  </threadedComment>
  <threadedComment ref="M24" dT="2020-03-01T14:47:18.96" personId="{EABD1D9A-F56B-42C4-898E-CC20814B31B4}" id="{F255B90A-653A-426D-B547-8FD077606312}">
    <text>Carburant nécessaire pour effectuer le vol spécifié dans le cartouche "Données du vol"</text>
  </threadedComment>
  <threadedComment ref="N24" dT="2020-03-01T14:47:18.96" personId="{EABD1D9A-F56B-42C4-898E-CC20814B31B4}" id="{4C868F8E-AAA4-4672-9915-FB27108FAFF8}">
    <text>Carburant nécessaire pour effectuer le vol spécifié dans le cartouche "Données du vol"</text>
  </threadedComment>
  <threadedComment ref="M25" dT="2020-03-01T14:47:18.96" personId="{EABD1D9A-F56B-42C4-898E-CC20814B31B4}" id="{D04EE888-4025-4930-B1A6-310B4F5C498E}">
    <text>La consommation horaire moyenne finale inclus les différentes corrections (délestage &amp; roulage) excepté la réserve finale.</text>
  </threadedComment>
  <threadedComment ref="M26" dT="2020-03-01T14:47:18.96" personId="{EABD1D9A-F56B-42C4-898E-CC20814B31B4}" id="{2252E8B2-0B46-4BD8-8F04-405C3837A67D}">
    <text>Attention ! Le restant théorique total à l'arrivée correspond au total de carburant restant dans le réservoir y compris le non utilisable.</text>
  </threadedComment>
  <threadedComment ref="M27" dT="2020-03-01T14:47:18.96" personId="{EABD1D9A-F56B-42C4-898E-CC20814B31B4}" id="{5F046F64-437E-44BF-A46B-79AEC9B4AC2E}">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8.xml><?xml version="1.0" encoding="utf-8"?>
<ThreadedComments xmlns="http://schemas.microsoft.com/office/spreadsheetml/2018/threadedcomments" xmlns:x="http://schemas.openxmlformats.org/spreadsheetml/2006/main">
  <threadedComment ref="B3" dT="2020-02-28T16:45:59.15" personId="{EABD1D9A-F56B-42C4-898E-CC20814B31B4}" id="{38615B91-1934-4A36-82BB-03B4C81C9FDD}">
    <text>Indiquer un format date Excel soit "jj/mm" et valider.
L'année en cours sera automatiquement prise en compte.
(Ex : 19/09 affichera 19/09/2020</text>
  </threadedComment>
  <threadedComment ref="H3" dT="2020-02-28T16:45:59.15" personId="{EABD1D9A-F56B-42C4-898E-CC20814B31B4}" id="{CE4B9CC0-26A6-43F9-909B-F97BECF9E8A4}">
    <text>Indiquer un format d'heure Excel soit "heure : minutes" (Ex : 11:25) et valider</text>
  </threadedComment>
  <threadedComment ref="C4" dT="2020-09-22T14:15:04.88" personId="{EABD1D9A-F56B-42C4-898E-CC20814B31B4}" id="{CF05D56F-2841-4BFF-8018-36B0498E6624}">
    <text>Choisissez la configuration de l'avion soit :
Catégorie A pour une utilisation Voltige
ou Catégorie U pour une utilisation normale.</text>
  </threadedComment>
  <threadedComment ref="B8" dT="2020-02-29T08:47:41.83" personId="{EABD1D9A-F56B-42C4-898E-CC20814B31B4}" id="{2B7CD918-49C8-4CD0-81C1-5C72A81F252D}">
    <text>Indiquer le poids du CDB habillé</text>
  </threadedComment>
  <threadedComment ref="E8" dT="2020-02-29T08:47:41.83" personId="{EABD1D9A-F56B-42C4-898E-CC20814B31B4}" id="{921894C7-A67F-4BEC-9CBC-1FC22C545167}">
    <text>Bras de levier du siège avant
En fonction de la position des sièges avant (Avant, mileiu, arrière).
Compris entre 0,55 &amp; 0,65. Par défaut moyenne prise en compte 0,6</text>
  </threadedComment>
  <threadedComment ref="M8" dT="2020-09-23T05:03:46.61" personId="{EABD1D9A-F56B-42C4-898E-CC20814B31B4}" id="{15A1D9AE-4923-4FC4-88F2-6FE9B266C9C5}">
    <text>Indiquer la quantité de carburant existante dans le réservoir principal.
Entre parenthèse figure le litrage maximum admissible dans le réservoir.</text>
  </threadedComment>
  <threadedComment ref="B9" dT="2020-02-29T08:48:31.92" personId="{EABD1D9A-F56B-42C4-898E-CC20814B31B4}" id="{1F9E1606-8A7E-4222-B7F9-DE412E0F769B}">
    <text>Indiquer le poids du copilote habillé</text>
  </threadedComment>
  <threadedComment ref="E9" dT="2020-02-29T08:47:41.83" personId="{EABD1D9A-F56B-42C4-898E-CC20814B31B4}" id="{F1722995-B4E9-450B-8390-E7ECB2DAF747}">
    <text>Bras de levier du siège avant
En fonction de la position des sièges avant (Avant, mileiu, arrière) Compris entre 0,55 &amp; 0,65. Par défaut moyenne prise en compte 0,6</text>
  </threadedComment>
  <threadedComment ref="M9" dT="2020-09-23T05:03:46.61" personId="{EABD1D9A-F56B-42C4-898E-CC20814B31B4}" id="{1A4A8669-2E18-4119-AB3B-1EFE3E21E598}">
    <text>Indiquer la quantité de carburant existante dans le réservoir secondaire.
Entre parenthèse figure le litrage maximum admissible dans le réservoir.</text>
  </threadedComment>
  <threadedComment ref="B10" dT="2020-02-29T08:51:10.85" personId="{EABD1D9A-F56B-42C4-898E-CC20814B31B4}" id="{A14D040E-B17B-4108-9E0E-5A52CA1CE100}">
    <text>Poids total des bagages</text>
  </threadedComment>
  <threadedComment ref="E10" dT="2020-02-29T08:47:41.83" personId="{EABD1D9A-F56B-42C4-898E-CC20814B31B4}" id="{1EBF12E4-48E2-4184-98A5-0709BB452EE4}">
    <text>Bras de levier des bagages
En fonction de la position des bagages en avant ou en arrière du coffre.
Compris entre 1,2 &amp; 1,8. Par défaut moyenne prise en compte 1,5.</text>
  </threadedComment>
  <threadedComment ref="H15" dT="2020-02-28T16:41:19.37" personId="{EABD1D9A-F56B-42C4-898E-CC20814B31B4}" id="{C57CB7C8-386A-4B80-84B4-FD47430BB73A}">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H16" dT="2020-02-28T16:41:19.37" personId="{EABD1D9A-F56B-42C4-898E-CC20814B31B4}" id="{42C33957-42DF-4A7D-8EEE-5B3AC35D53DF}">
    <text>Indiquez la durée prévue en minute pour le trajet total.</text>
  </threadedComment>
  <threadedComment ref="M16" dT="2020-02-28T16:45:59.15" personId="{EABD1D9A-F56B-42C4-898E-CC20814B31B4}" id="{69C7FABE-4615-4AC3-A887-92F6F73F3CB8}">
    <text>Quantité nécessaire depuis l'aérodrome de départ jusqu'à celui d'arrivée sur le trajet le plus pénalisant à VP de croisière.</text>
  </threadedComment>
  <threadedComment ref="H17" dT="2020-02-28T16:42:25.13" personId="{EABD1D9A-F56B-42C4-898E-CC20814B31B4}" id="{DD8874A2-81B8-49E5-893E-4776C61756CA}">
    <text>Indiquez le nombre d'aérodromes prévus d'atterrir pendant le trajet.
Minimum 1 équivalent à l'aérodrome de destination.</text>
  </threadedComment>
  <threadedComment ref="M17" dT="2020-02-28T16:46:21.94" personId="{EABD1D9A-F56B-42C4-898E-CC20814B31B4}" id="{68BEEF3E-AD63-4DD7-9499-4DF2A3F03B16}">
    <text>Forfait de 10 mn de vol par aérodrome prévu permettant l'intégration et le tour de piste.</text>
  </threadedComment>
  <threadedComment ref="M18" dT="2020-02-28T16:44:10.59" personId="{EABD1D9A-F56B-42C4-898E-CC20814B31B4}" id="{6FE25432-79DB-4F50-8862-40293E283D7C}">
    <text>Total du carburant normalement consommé pendant le vol (1+2).</text>
  </threadedComment>
  <threadedComment ref="M19" dT="2020-02-28T16:48:05.92" personId="{EABD1D9A-F56B-42C4-898E-CC20814B31B4}" id="{A7C4DE3D-7A6C-4D76-9392-70E659ACE076}">
    <text>Sélectionnez  Jour ou Nuit en fonction du type de vol effectué.</text>
  </threadedComment>
  <threadedComment ref="M20" dT="2020-02-28T16:43:41.71" personId="{EABD1D9A-F56B-42C4-898E-CC20814B31B4}" id="{6796E04D-84C5-4C1B-9F8C-9461E74C4F0E}">
    <text>Réserve de 30 mn de vol de jour ou de 45 mn de nuit en croisière économique pour l'exploitation générale.</text>
  </threadedComment>
  <threadedComment ref="M22" dT="2020-02-29T14:10:34.42" personId="{EABD1D9A-F56B-42C4-898E-CC20814B31B4}" id="{B8D3D311-A8B7-4D92-B07F-D64FCE51A30E}">
    <text>Consommation estimée lors du roulage correspondant à 10 mn de la consommation horaire moyenne.</text>
  </threadedComment>
  <threadedComment ref="M23" dT="2020-02-29T14:10:34.42" personId="{EABD1D9A-F56B-42C4-898E-CC20814B31B4}" id="{A870CE62-89BE-4D7A-BA99-18DC63F4FBB7}">
    <text>Pourcentage % de carburant supplémentaire pour assurer le délestage et le roulage (numérotées 1, 2 &amp; 4).</text>
  </threadedComment>
  <threadedComment ref="M24" dT="2020-03-01T14:47:18.96" personId="{EABD1D9A-F56B-42C4-898E-CC20814B31B4}" id="{52F84A30-0D5F-44F5-BDD8-201727AD22CC}">
    <text>Carburant nécessaire pour effectuer le vol spécifié dans le cartouche "Données du vol"</text>
  </threadedComment>
  <threadedComment ref="M25" dT="2020-03-01T14:47:18.96" personId="{EABD1D9A-F56B-42C4-898E-CC20814B31B4}" id="{BDAE7E0F-3834-4DDA-82A7-794C60561090}">
    <text>La consommation horaire moyenne finale inclus les différentes corrections (délestage &amp; roulage) excepté la réserve finale.</text>
  </threadedComment>
  <threadedComment ref="M27" dT="2020-03-01T14:47:18.96" personId="{EABD1D9A-F56B-42C4-898E-CC20814B31B4}" id="{A86FFCDD-8B89-4CE6-82D1-0C03220B9738}">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threadedComments/threadedComment9.xml><?xml version="1.0" encoding="utf-8"?>
<ThreadedComments xmlns="http://schemas.microsoft.com/office/spreadsheetml/2018/threadedcomments" xmlns:x="http://schemas.openxmlformats.org/spreadsheetml/2006/main">
  <threadedComment ref="B3" dT="2020-02-28T16:45:59.15" personId="{EABD1D9A-F56B-42C4-898E-CC20814B31B4}" id="{56394C25-5D96-4146-BA1A-C550A28FD453}">
    <text>Indiquer un format date Excel soit "jj/mm" et valider.
L'année en cours sera automatiquement prise en compte.
(Ex : 19/09 affichera 19/09/2020</text>
  </threadedComment>
  <threadedComment ref="H3" dT="2020-02-28T16:45:59.15" personId="{EABD1D9A-F56B-42C4-898E-CC20814B31B4}" id="{4FA84749-291D-4560-9CB8-6C666669BBFD}">
    <text>Indiquer un format d'heure Excel soit "heure : minutes" (Ex : 11:25) et valider</text>
  </threadedComment>
  <threadedComment ref="H6" dT="2020-02-28T16:41:19.37" personId="{EABD1D9A-F56B-42C4-898E-CC20814B31B4}" id="{4EAC33CF-BD62-410B-AFBB-880DB460E1B5}">
    <text>Attention : l’autonomie de vol théorique ne prend en compte que la durée du vol et la consommation horaire moyenne stipulée dans le manuel de l'avion utilisé.
L'autonomie réelle sera calculée plus précisément par le pilote en fonction d'autres paramètres à rajouter comme les corrections montées et le vent réel impossible à prendre en compte ici.</text>
  </threadedComment>
  <threadedComment ref="B8" dT="2020-02-29T08:47:41.83" personId="{EABD1D9A-F56B-42C4-898E-CC20814B31B4}" id="{83FA3E0C-BF06-4DC7-9EB5-98B39D8CC1D8}">
    <text>Indiquer le poids du CDB habillé</text>
  </threadedComment>
  <threadedComment ref="H8" dT="2020-02-28T16:41:19.37" personId="{EABD1D9A-F56B-42C4-898E-CC20814B31B4}" id="{CD3A4C57-ED17-4DB7-A476-9C030AF8F068}">
    <text>Indiquez la durée prévue en minute pour le trajet total.</text>
  </threadedComment>
  <threadedComment ref="M8" dT="2020-09-23T05:03:46.61" personId="{EABD1D9A-F56B-42C4-898E-CC20814B31B4}" id="{EB740C44-428A-4FD4-B18E-97E21B2244B1}">
    <text>Indiquer la quantité de carburant existante dans le réservoir de l'aile droite.
Entre parenthèse figure le litrage maximum admissible dans le réservoir.</text>
  </threadedComment>
  <threadedComment ref="B9" dT="2020-02-29T08:48:31.92" personId="{EABD1D9A-F56B-42C4-898E-CC20814B31B4}" id="{D96A60B3-FDB1-4BDE-A755-6B275FE2232C}">
    <text>Indiquer le poids du copilote habillé</text>
  </threadedComment>
  <threadedComment ref="H9" dT="2020-02-28T16:42:25.13" personId="{EABD1D9A-F56B-42C4-898E-CC20814B31B4}" id="{EF6BC9FF-CC28-4FE8-9F6C-CCAA236AD47C}">
    <text>Indiquez le nombre d'aérodromes prévus d'atterrir pendant le trajet.
Minimum 1 équivalent à l'aérodrome de destination.</text>
  </threadedComment>
  <threadedComment ref="M9" dT="2020-09-23T05:03:46.61" personId="{EABD1D9A-F56B-42C4-898E-CC20814B31B4}" id="{60C18090-20FF-4C2D-9C7C-B920300F28BF}">
    <text>Indiquer la quantité de carburant existante dans le réservoir de l'aile gauche.
Entre parenthèse figure le litrage maximum admissible dans le réservoir.</text>
  </threadedComment>
  <threadedComment ref="B10" dT="2020-02-29T08:49:04.27" personId="{EABD1D9A-F56B-42C4-898E-CC20814B31B4}" id="{8CBEE5D7-E7A0-460C-906E-8524C68F65AD}">
    <text>Indiquer le poids du passager arrière 1 habillé</text>
  </threadedComment>
  <threadedComment ref="B11" dT="2020-02-29T08:50:36.87" personId="{EABD1D9A-F56B-42C4-898E-CC20814B31B4}" id="{48CF39ED-2542-469D-876F-FB4CFC707FAE}">
    <text>Indiquer le poids du passager arrière 2 habillé</text>
  </threadedComment>
  <threadedComment ref="B12" dT="2020-02-29T08:51:10.85" personId="{EABD1D9A-F56B-42C4-898E-CC20814B31B4}" id="{E85E46F5-D714-423B-8518-21CFE7D60548}">
    <text>Poids total des bagages</text>
  </threadedComment>
  <threadedComment ref="M16" dT="2020-02-28T16:45:59.15" personId="{EABD1D9A-F56B-42C4-898E-CC20814B31B4}" id="{EB54EC12-8D79-4E08-A218-E92F96516CE1}">
    <text>Quantité nécessaire depuis l'aérodrome de départ jusqu'à celui d'arrivée sur le trajet le plus pénalisant à VP de croisière.</text>
  </threadedComment>
  <threadedComment ref="M17" dT="2020-02-28T16:46:21.94" personId="{EABD1D9A-F56B-42C4-898E-CC20814B31B4}" id="{95A70E47-3FF4-4FA8-98F2-C991BE86484D}">
    <text>Forfait de 10 mn de vol par aérodrome prévu permettant l'intégration et le tour de piste.</text>
  </threadedComment>
  <threadedComment ref="M18" dT="2020-02-28T16:44:10.59" personId="{EABD1D9A-F56B-42C4-898E-CC20814B31B4}" id="{0CBBD22E-C719-4D57-AB9A-2D9CF1ADCAF8}">
    <text>Total du carburant normalement consommé pendant le vol (1+2).</text>
  </threadedComment>
  <threadedComment ref="M19" dT="2020-02-28T16:48:05.92" personId="{EABD1D9A-F56B-42C4-898E-CC20814B31B4}" id="{F3DEA897-99BB-4CD1-859A-3634085CFC28}">
    <text>Sélectionnez  Jour ou Nuit en fonction du type de vol effectué.</text>
  </threadedComment>
  <threadedComment ref="M20" dT="2020-02-28T16:43:41.71" personId="{EABD1D9A-F56B-42C4-898E-CC20814B31B4}" id="{4F7FE25A-E7FC-40B9-A0C2-4985F23F1E94}">
    <text>Réserve de 30 mn de vol de jour ou de 45 mn de nuit en croisière économique pour l'exploitation générale.</text>
  </threadedComment>
  <threadedComment ref="M22" dT="2020-02-29T14:10:34.42" personId="{EABD1D9A-F56B-42C4-898E-CC20814B31B4}" id="{C57052E8-3CA5-4015-9263-6C86F2499E95}">
    <text>Consommation estimée lors du roulage correspondant à 10 mn de la consommation horaire moyenne.</text>
  </threadedComment>
  <threadedComment ref="M23" dT="2020-02-29T14:10:34.42" personId="{EABD1D9A-F56B-42C4-898E-CC20814B31B4}" id="{B74F70CD-49D8-4D2D-807B-926AD8088F1D}">
    <text>Pourcentage % de carburant supplémentaire pour assurer le délestage et le roulage (numérotées 1, 2 &amp; 4).</text>
  </threadedComment>
  <threadedComment ref="M24" dT="2020-03-01T14:47:18.96" personId="{EABD1D9A-F56B-42C4-898E-CC20814B31B4}" id="{00D1F7E1-8DA5-49D8-8B5E-45D13EA390B4}">
    <text>Carburant nécessaire pour effectuer le vol spécifié dans le cartouche "Données du vol"</text>
  </threadedComment>
  <threadedComment ref="N24" dT="2020-03-01T14:47:18.96" personId="{EABD1D9A-F56B-42C4-898E-CC20814B31B4}" id="{6B1CD4FA-B66E-4BC6-AE08-6FD2D3109C7C}">
    <text>Carburant nécessaire pour effectuer le vol spécifié dans le cartouche "Données du vol"</text>
  </threadedComment>
  <threadedComment ref="M25" dT="2020-03-01T14:47:18.96" personId="{EABD1D9A-F56B-42C4-898E-CC20814B31B4}" id="{5A7B5A1A-4EB9-46C9-A673-FE15CC174214}">
    <text>La consommation horaire moyenne finale inclus les différentes corrections (délestage &amp; roulage) excepté la réserve finale.</text>
  </threadedComment>
  <threadedComment ref="M26" dT="2020-03-01T14:47:18.96" personId="{EABD1D9A-F56B-42C4-898E-CC20814B31B4}" id="{F6334800-7038-4471-913A-C59DDCA314FE}">
    <text>Attention ! Le restant théorique total à l'arrivée correspond au total de carburant restant dans le réservoir y compris le non utilisable.</text>
  </threadedComment>
  <threadedComment ref="M27" dT="2020-03-01T14:47:18.96" personId="{EABD1D9A-F56B-42C4-898E-CC20814B31B4}" id="{91388CE1-F4C5-4559-A366-BBAFDD4DCB4B}">
    <text>Carburant exploitable restant à l'atterrissage
Si cette case s'allume en orange, il reste moins de 10 litres dans le ou les réservoirs réserve finale incluse indiquée au n°5 !
Si elle s'allume en rouge, l'emport carburant est insuffisant - DANGER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10.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0.xml"/><Relationship Id="rId1" Type="http://schemas.openxmlformats.org/officeDocument/2006/relationships/printerSettings" Target="../printerSettings/printerSettings11.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12.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9.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9EE33-CDBF-46A5-8F91-039DA3E0056C}">
  <sheetPr>
    <tabColor rgb="FFFF0000"/>
    <pageSetUpPr fitToPage="1"/>
  </sheetPr>
  <dimension ref="B1:D26"/>
  <sheetViews>
    <sheetView zoomScaleNormal="100" workbookViewId="0">
      <selection activeCell="C15" sqref="C15"/>
    </sheetView>
  </sheetViews>
  <sheetFormatPr baseColWidth="10" defaultRowHeight="24.95" customHeight="1" x14ac:dyDescent="0.2"/>
  <cols>
    <col min="1" max="1" width="2.7109375" style="21" customWidth="1"/>
    <col min="2" max="2" width="5.7109375" style="21" customWidth="1"/>
    <col min="3" max="3" width="63.7109375" style="21" bestFit="1" customWidth="1"/>
    <col min="4" max="17" width="11.42578125" style="21"/>
    <col min="18" max="18" width="3.5703125" style="21" customWidth="1"/>
    <col min="19" max="16384" width="11.42578125" style="21"/>
  </cols>
  <sheetData>
    <row r="1" spans="2:3" ht="9.9499999999999993" customHeight="1" thickBot="1" x14ac:dyDescent="0.25"/>
    <row r="2" spans="2:3" ht="24.95" customHeight="1" x14ac:dyDescent="0.2">
      <c r="B2" s="754" t="s">
        <v>158</v>
      </c>
      <c r="C2" s="755"/>
    </row>
    <row r="3" spans="2:3" ht="24.95" customHeight="1" thickBot="1" x14ac:dyDescent="0.25">
      <c r="B3" s="756"/>
      <c r="C3" s="757"/>
    </row>
    <row r="4" spans="2:3" s="32" customFormat="1" ht="72" customHeight="1" thickBot="1" x14ac:dyDescent="0.25">
      <c r="B4" s="768" t="s">
        <v>245</v>
      </c>
      <c r="C4" s="769"/>
    </row>
    <row r="5" spans="2:3" ht="24.95" customHeight="1" x14ac:dyDescent="0.2">
      <c r="B5" s="712">
        <v>1</v>
      </c>
      <c r="C5" s="713" t="s">
        <v>151</v>
      </c>
    </row>
    <row r="6" spans="2:3" ht="24.95" customHeight="1" x14ac:dyDescent="0.2">
      <c r="B6" s="714">
        <v>2</v>
      </c>
      <c r="C6" s="715" t="s">
        <v>152</v>
      </c>
    </row>
    <row r="7" spans="2:3" ht="24.95" customHeight="1" x14ac:dyDescent="0.2">
      <c r="B7" s="714">
        <v>3</v>
      </c>
      <c r="C7" s="715" t="s">
        <v>153</v>
      </c>
    </row>
    <row r="8" spans="2:3" ht="24.95" customHeight="1" x14ac:dyDescent="0.2">
      <c r="B8" s="714">
        <v>4</v>
      </c>
      <c r="C8" s="715" t="s">
        <v>154</v>
      </c>
    </row>
    <row r="9" spans="2:3" ht="24.95" customHeight="1" x14ac:dyDescent="0.2">
      <c r="B9" s="714">
        <v>5</v>
      </c>
      <c r="C9" s="715" t="s">
        <v>155</v>
      </c>
    </row>
    <row r="10" spans="2:3" ht="24.95" customHeight="1" x14ac:dyDescent="0.2">
      <c r="B10" s="714">
        <v>6</v>
      </c>
      <c r="C10" s="715" t="s">
        <v>156</v>
      </c>
    </row>
    <row r="11" spans="2:3" ht="24.95" customHeight="1" x14ac:dyDescent="0.2">
      <c r="B11" s="714">
        <v>7</v>
      </c>
      <c r="C11" s="715" t="s">
        <v>157</v>
      </c>
    </row>
    <row r="12" spans="2:3" ht="24.95" customHeight="1" x14ac:dyDescent="0.2">
      <c r="B12" s="714">
        <v>8</v>
      </c>
      <c r="C12" s="715" t="s">
        <v>232</v>
      </c>
    </row>
    <row r="13" spans="2:3" ht="24.95" customHeight="1" thickBot="1" x14ac:dyDescent="0.25">
      <c r="B13" s="750">
        <v>9</v>
      </c>
      <c r="C13" s="751" t="s">
        <v>261</v>
      </c>
    </row>
    <row r="14" spans="2:3" ht="24.95" customHeight="1" x14ac:dyDescent="0.2">
      <c r="B14" s="752"/>
      <c r="C14" s="753"/>
    </row>
    <row r="15" spans="2:3" ht="24.95" customHeight="1" x14ac:dyDescent="0.2">
      <c r="B15" s="687"/>
    </row>
    <row r="16" spans="2:3" ht="9.9499999999999993" customHeight="1" thickBot="1" x14ac:dyDescent="0.25">
      <c r="B16" s="687"/>
      <c r="C16" s="688"/>
    </row>
    <row r="17" spans="2:4" ht="24" customHeight="1" thickBot="1" x14ac:dyDescent="0.25">
      <c r="B17" s="762" t="s">
        <v>65</v>
      </c>
      <c r="C17" s="763"/>
      <c r="D17" s="22"/>
    </row>
    <row r="18" spans="2:4" ht="24.95" customHeight="1" thickBot="1" x14ac:dyDescent="0.25">
      <c r="B18" s="764" t="s">
        <v>67</v>
      </c>
      <c r="C18" s="765"/>
    </row>
    <row r="19" spans="2:4" ht="146.25" customHeight="1" thickBot="1" x14ac:dyDescent="0.25">
      <c r="B19" s="770" t="s">
        <v>150</v>
      </c>
      <c r="C19" s="771"/>
    </row>
    <row r="20" spans="2:4" ht="9.9499999999999993" customHeight="1" thickBot="1" x14ac:dyDescent="0.25"/>
    <row r="21" spans="2:4" ht="41.25" customHeight="1" thickBot="1" x14ac:dyDescent="0.25">
      <c r="B21" s="762" t="s">
        <v>66</v>
      </c>
      <c r="C21" s="763"/>
    </row>
    <row r="22" spans="2:4" ht="69.95" customHeight="1" thickTop="1" thickBot="1" x14ac:dyDescent="0.25">
      <c r="B22" s="766" t="s">
        <v>77</v>
      </c>
      <c r="C22" s="767"/>
    </row>
    <row r="23" spans="2:4" ht="69.95" customHeight="1" thickBot="1" x14ac:dyDescent="0.25">
      <c r="B23" s="758" t="s">
        <v>76</v>
      </c>
      <c r="C23" s="759"/>
    </row>
    <row r="24" spans="2:4" ht="9.9499999999999993" customHeight="1" thickTop="1" x14ac:dyDescent="0.2"/>
    <row r="25" spans="2:4" ht="169.5" customHeight="1" thickBot="1" x14ac:dyDescent="0.25"/>
    <row r="26" spans="2:4" ht="175.5" customHeight="1" thickBot="1" x14ac:dyDescent="0.25">
      <c r="B26" s="760" t="s">
        <v>88</v>
      </c>
      <c r="C26" s="761"/>
    </row>
  </sheetData>
  <sheetProtection algorithmName="SHA-512" hashValue="5JUtN6y8xRgAGciUOiTEh+m4kmOu4DRVXoAxInx3YUEZ54qhPMAK0enxx+MyuRmNJD0ATZtjMUl2SID7UzZzXQ==" saltValue="9Q0SsIXJ9GWLtx7x1Qi+vA==" spinCount="100000" sheet="1" objects="1" scenarios="1" selectLockedCells="1" selectUnlockedCells="1"/>
  <mergeCells count="9">
    <mergeCell ref="B2:C3"/>
    <mergeCell ref="B23:C23"/>
    <mergeCell ref="B26:C26"/>
    <mergeCell ref="B21:C21"/>
    <mergeCell ref="B18:C18"/>
    <mergeCell ref="B22:C22"/>
    <mergeCell ref="B4:C4"/>
    <mergeCell ref="B19:C19"/>
    <mergeCell ref="B17:C17"/>
  </mergeCells>
  <printOptions horizontalCentered="1"/>
  <pageMargins left="0.19685039370078741" right="0.19685039370078741" top="0.19685039370078741" bottom="0.19685039370078741" header="0.31496062992125984" footer="0.31496062992125984"/>
  <pageSetup paperSize="9" scale="45"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F378-88D8-4B3D-8958-18A36AD90589}">
  <sheetPr>
    <tabColor rgb="FF7030A0"/>
    <pageSetUpPr fitToPage="1"/>
  </sheetPr>
  <dimension ref="B1:AG61"/>
  <sheetViews>
    <sheetView showGridLines="0" topLeftCell="C1" zoomScale="85" zoomScaleNormal="85" workbookViewId="0">
      <selection activeCell="N19" sqref="N19"/>
    </sheetView>
  </sheetViews>
  <sheetFormatPr baseColWidth="10" defaultRowHeight="18.75" x14ac:dyDescent="0.2"/>
  <cols>
    <col min="1" max="1" width="42.7109375" style="1" customWidth="1"/>
    <col min="2" max="2" width="32" style="1" customWidth="1"/>
    <col min="3" max="6" width="15.7109375" style="24"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4" customWidth="1"/>
    <col min="15" max="15" width="5.7109375" style="78" customWidth="1"/>
    <col min="16" max="16" width="47" style="67" hidden="1" customWidth="1"/>
    <col min="17" max="18" width="14.85546875" style="68" hidden="1" customWidth="1"/>
    <col min="19" max="19" width="47" style="67" bestFit="1" customWidth="1"/>
    <col min="20" max="20" width="16.7109375" style="68" customWidth="1"/>
    <col min="21" max="21" width="16.7109375" style="67" customWidth="1"/>
    <col min="22" max="22" width="18.5703125" style="67" bestFit="1" customWidth="1"/>
    <col min="23" max="23" width="23.7109375" style="67" customWidth="1"/>
    <col min="24" max="31" width="11.42578125" style="67"/>
    <col min="32" max="33" width="11.42578125" style="34"/>
    <col min="34" max="258" width="11.42578125" style="1"/>
    <col min="259" max="259" width="22.28515625" style="1" bestFit="1" customWidth="1"/>
    <col min="260" max="260" width="11.42578125" style="1"/>
    <col min="261" max="261" width="16" style="1" bestFit="1" customWidth="1"/>
    <col min="262" max="262" width="21.7109375" style="1" bestFit="1" customWidth="1"/>
    <col min="263" max="263" width="23.42578125" style="1" bestFit="1" customWidth="1"/>
    <col min="264" max="264" width="11.42578125" style="1"/>
    <col min="265" max="265" width="21.5703125" style="1" customWidth="1"/>
    <col min="266" max="267" width="11.42578125" style="1"/>
    <col min="268" max="268" width="12.85546875" style="1" bestFit="1" customWidth="1"/>
    <col min="269" max="269" width="11.42578125" style="1"/>
    <col min="270" max="270" width="27.7109375" style="1" bestFit="1" customWidth="1"/>
    <col min="271" max="271" width="12.28515625" style="1" bestFit="1" customWidth="1"/>
    <col min="272" max="514" width="11.42578125" style="1"/>
    <col min="515" max="515" width="22.28515625" style="1" bestFit="1" customWidth="1"/>
    <col min="516" max="516" width="11.42578125" style="1"/>
    <col min="517" max="517" width="16" style="1" bestFit="1" customWidth="1"/>
    <col min="518" max="518" width="21.7109375" style="1" bestFit="1" customWidth="1"/>
    <col min="519" max="519" width="23.42578125" style="1" bestFit="1" customWidth="1"/>
    <col min="520" max="520" width="11.42578125" style="1"/>
    <col min="521" max="521" width="21.5703125" style="1" customWidth="1"/>
    <col min="522" max="523" width="11.42578125" style="1"/>
    <col min="524" max="524" width="12.85546875" style="1" bestFit="1" customWidth="1"/>
    <col min="525" max="525" width="11.42578125" style="1"/>
    <col min="526" max="526" width="27.7109375" style="1" bestFit="1" customWidth="1"/>
    <col min="527" max="527" width="12.28515625" style="1" bestFit="1" customWidth="1"/>
    <col min="528" max="770" width="11.42578125" style="1"/>
    <col min="771" max="771" width="22.28515625" style="1" bestFit="1" customWidth="1"/>
    <col min="772" max="772" width="11.42578125" style="1"/>
    <col min="773" max="773" width="16" style="1" bestFit="1" customWidth="1"/>
    <col min="774" max="774" width="21.7109375" style="1" bestFit="1" customWidth="1"/>
    <col min="775" max="775" width="23.42578125" style="1" bestFit="1" customWidth="1"/>
    <col min="776" max="776" width="11.42578125" style="1"/>
    <col min="777" max="777" width="21.5703125" style="1" customWidth="1"/>
    <col min="778" max="779" width="11.42578125" style="1"/>
    <col min="780" max="780" width="12.85546875" style="1" bestFit="1" customWidth="1"/>
    <col min="781" max="781" width="11.42578125" style="1"/>
    <col min="782" max="782" width="27.7109375" style="1" bestFit="1" customWidth="1"/>
    <col min="783" max="783" width="12.28515625" style="1" bestFit="1" customWidth="1"/>
    <col min="784" max="1026" width="11.42578125" style="1"/>
    <col min="1027" max="1027" width="22.28515625" style="1" bestFit="1" customWidth="1"/>
    <col min="1028" max="1028" width="11.42578125" style="1"/>
    <col min="1029" max="1029" width="16" style="1" bestFit="1" customWidth="1"/>
    <col min="1030" max="1030" width="21.7109375" style="1" bestFit="1" customWidth="1"/>
    <col min="1031" max="1031" width="23.42578125" style="1" bestFit="1" customWidth="1"/>
    <col min="1032" max="1032" width="11.42578125" style="1"/>
    <col min="1033" max="1033" width="21.5703125" style="1" customWidth="1"/>
    <col min="1034" max="1035" width="11.42578125" style="1"/>
    <col min="1036" max="1036" width="12.85546875" style="1" bestFit="1" customWidth="1"/>
    <col min="1037" max="1037" width="11.42578125" style="1"/>
    <col min="1038" max="1038" width="27.7109375" style="1" bestFit="1" customWidth="1"/>
    <col min="1039" max="1039" width="12.28515625" style="1" bestFit="1" customWidth="1"/>
    <col min="1040" max="1282" width="11.42578125" style="1"/>
    <col min="1283" max="1283" width="22.28515625" style="1" bestFit="1" customWidth="1"/>
    <col min="1284" max="1284" width="11.42578125" style="1"/>
    <col min="1285" max="1285" width="16" style="1" bestFit="1" customWidth="1"/>
    <col min="1286" max="1286" width="21.7109375" style="1" bestFit="1" customWidth="1"/>
    <col min="1287" max="1287" width="23.42578125" style="1" bestFit="1" customWidth="1"/>
    <col min="1288" max="1288" width="11.42578125" style="1"/>
    <col min="1289" max="1289" width="21.5703125" style="1" customWidth="1"/>
    <col min="1290" max="1291" width="11.42578125" style="1"/>
    <col min="1292" max="1292" width="12.85546875" style="1" bestFit="1" customWidth="1"/>
    <col min="1293" max="1293" width="11.42578125" style="1"/>
    <col min="1294" max="1294" width="27.7109375" style="1" bestFit="1" customWidth="1"/>
    <col min="1295" max="1295" width="12.28515625" style="1" bestFit="1" customWidth="1"/>
    <col min="1296" max="1538" width="11.42578125" style="1"/>
    <col min="1539" max="1539" width="22.28515625" style="1" bestFit="1" customWidth="1"/>
    <col min="1540" max="1540" width="11.42578125" style="1"/>
    <col min="1541" max="1541" width="16" style="1" bestFit="1" customWidth="1"/>
    <col min="1542" max="1542" width="21.7109375" style="1" bestFit="1" customWidth="1"/>
    <col min="1543" max="1543" width="23.42578125" style="1" bestFit="1" customWidth="1"/>
    <col min="1544" max="1544" width="11.42578125" style="1"/>
    <col min="1545" max="1545" width="21.5703125" style="1" customWidth="1"/>
    <col min="1546" max="1547" width="11.42578125" style="1"/>
    <col min="1548" max="1548" width="12.85546875" style="1" bestFit="1" customWidth="1"/>
    <col min="1549" max="1549" width="11.42578125" style="1"/>
    <col min="1550" max="1550" width="27.7109375" style="1" bestFit="1" customWidth="1"/>
    <col min="1551" max="1551" width="12.28515625" style="1" bestFit="1" customWidth="1"/>
    <col min="1552" max="1794" width="11.42578125" style="1"/>
    <col min="1795" max="1795" width="22.28515625" style="1" bestFit="1" customWidth="1"/>
    <col min="1796" max="1796" width="11.42578125" style="1"/>
    <col min="1797" max="1797" width="16" style="1" bestFit="1" customWidth="1"/>
    <col min="1798" max="1798" width="21.7109375" style="1" bestFit="1" customWidth="1"/>
    <col min="1799" max="1799" width="23.42578125" style="1" bestFit="1" customWidth="1"/>
    <col min="1800" max="1800" width="11.42578125" style="1"/>
    <col min="1801" max="1801" width="21.5703125" style="1" customWidth="1"/>
    <col min="1802" max="1803" width="11.42578125" style="1"/>
    <col min="1804" max="1804" width="12.85546875" style="1" bestFit="1" customWidth="1"/>
    <col min="1805" max="1805" width="11.42578125" style="1"/>
    <col min="1806" max="1806" width="27.7109375" style="1" bestFit="1" customWidth="1"/>
    <col min="1807" max="1807" width="12.28515625" style="1" bestFit="1" customWidth="1"/>
    <col min="1808" max="2050" width="11.42578125" style="1"/>
    <col min="2051" max="2051" width="22.28515625" style="1" bestFit="1" customWidth="1"/>
    <col min="2052" max="2052" width="11.42578125" style="1"/>
    <col min="2053" max="2053" width="16" style="1" bestFit="1" customWidth="1"/>
    <col min="2054" max="2054" width="21.7109375" style="1" bestFit="1" customWidth="1"/>
    <col min="2055" max="2055" width="23.42578125" style="1" bestFit="1" customWidth="1"/>
    <col min="2056" max="2056" width="11.42578125" style="1"/>
    <col min="2057" max="2057" width="21.5703125" style="1" customWidth="1"/>
    <col min="2058" max="2059" width="11.42578125" style="1"/>
    <col min="2060" max="2060" width="12.85546875" style="1" bestFit="1" customWidth="1"/>
    <col min="2061" max="2061" width="11.42578125" style="1"/>
    <col min="2062" max="2062" width="27.7109375" style="1" bestFit="1" customWidth="1"/>
    <col min="2063" max="2063" width="12.28515625" style="1" bestFit="1" customWidth="1"/>
    <col min="2064" max="2306" width="11.42578125" style="1"/>
    <col min="2307" max="2307" width="22.28515625" style="1" bestFit="1" customWidth="1"/>
    <col min="2308" max="2308" width="11.42578125" style="1"/>
    <col min="2309" max="2309" width="16" style="1" bestFit="1" customWidth="1"/>
    <col min="2310" max="2310" width="21.7109375" style="1" bestFit="1" customWidth="1"/>
    <col min="2311" max="2311" width="23.42578125" style="1" bestFit="1" customWidth="1"/>
    <col min="2312" max="2312" width="11.42578125" style="1"/>
    <col min="2313" max="2313" width="21.5703125" style="1" customWidth="1"/>
    <col min="2314" max="2315" width="11.42578125" style="1"/>
    <col min="2316" max="2316" width="12.85546875" style="1" bestFit="1" customWidth="1"/>
    <col min="2317" max="2317" width="11.42578125" style="1"/>
    <col min="2318" max="2318" width="27.7109375" style="1" bestFit="1" customWidth="1"/>
    <col min="2319" max="2319" width="12.28515625" style="1" bestFit="1" customWidth="1"/>
    <col min="2320" max="2562" width="11.42578125" style="1"/>
    <col min="2563" max="2563" width="22.28515625" style="1" bestFit="1" customWidth="1"/>
    <col min="2564" max="2564" width="11.42578125" style="1"/>
    <col min="2565" max="2565" width="16" style="1" bestFit="1" customWidth="1"/>
    <col min="2566" max="2566" width="21.7109375" style="1" bestFit="1" customWidth="1"/>
    <col min="2567" max="2567" width="23.42578125" style="1" bestFit="1" customWidth="1"/>
    <col min="2568" max="2568" width="11.42578125" style="1"/>
    <col min="2569" max="2569" width="21.5703125" style="1" customWidth="1"/>
    <col min="2570" max="2571" width="11.42578125" style="1"/>
    <col min="2572" max="2572" width="12.85546875" style="1" bestFit="1" customWidth="1"/>
    <col min="2573" max="2573" width="11.42578125" style="1"/>
    <col min="2574" max="2574" width="27.7109375" style="1" bestFit="1" customWidth="1"/>
    <col min="2575" max="2575" width="12.28515625" style="1" bestFit="1" customWidth="1"/>
    <col min="2576" max="2818" width="11.42578125" style="1"/>
    <col min="2819" max="2819" width="22.28515625" style="1" bestFit="1" customWidth="1"/>
    <col min="2820" max="2820" width="11.42578125" style="1"/>
    <col min="2821" max="2821" width="16" style="1" bestFit="1" customWidth="1"/>
    <col min="2822" max="2822" width="21.7109375" style="1" bestFit="1" customWidth="1"/>
    <col min="2823" max="2823" width="23.42578125" style="1" bestFit="1" customWidth="1"/>
    <col min="2824" max="2824" width="11.42578125" style="1"/>
    <col min="2825" max="2825" width="21.5703125" style="1" customWidth="1"/>
    <col min="2826" max="2827" width="11.42578125" style="1"/>
    <col min="2828" max="2828" width="12.85546875" style="1" bestFit="1" customWidth="1"/>
    <col min="2829" max="2829" width="11.42578125" style="1"/>
    <col min="2830" max="2830" width="27.7109375" style="1" bestFit="1" customWidth="1"/>
    <col min="2831" max="2831" width="12.28515625" style="1" bestFit="1" customWidth="1"/>
    <col min="2832" max="3074" width="11.42578125" style="1"/>
    <col min="3075" max="3075" width="22.28515625" style="1" bestFit="1" customWidth="1"/>
    <col min="3076" max="3076" width="11.42578125" style="1"/>
    <col min="3077" max="3077" width="16" style="1" bestFit="1" customWidth="1"/>
    <col min="3078" max="3078" width="21.7109375" style="1" bestFit="1" customWidth="1"/>
    <col min="3079" max="3079" width="23.42578125" style="1" bestFit="1" customWidth="1"/>
    <col min="3080" max="3080" width="11.42578125" style="1"/>
    <col min="3081" max="3081" width="21.5703125" style="1" customWidth="1"/>
    <col min="3082" max="3083" width="11.42578125" style="1"/>
    <col min="3084" max="3084" width="12.85546875" style="1" bestFit="1" customWidth="1"/>
    <col min="3085" max="3085" width="11.42578125" style="1"/>
    <col min="3086" max="3086" width="27.7109375" style="1" bestFit="1" customWidth="1"/>
    <col min="3087" max="3087" width="12.28515625" style="1" bestFit="1" customWidth="1"/>
    <col min="3088" max="3330" width="11.42578125" style="1"/>
    <col min="3331" max="3331" width="22.28515625" style="1" bestFit="1" customWidth="1"/>
    <col min="3332" max="3332" width="11.42578125" style="1"/>
    <col min="3333" max="3333" width="16" style="1" bestFit="1" customWidth="1"/>
    <col min="3334" max="3334" width="21.7109375" style="1" bestFit="1" customWidth="1"/>
    <col min="3335" max="3335" width="23.42578125" style="1" bestFit="1" customWidth="1"/>
    <col min="3336" max="3336" width="11.42578125" style="1"/>
    <col min="3337" max="3337" width="21.5703125" style="1" customWidth="1"/>
    <col min="3338" max="3339" width="11.42578125" style="1"/>
    <col min="3340" max="3340" width="12.85546875" style="1" bestFit="1" customWidth="1"/>
    <col min="3341" max="3341" width="11.42578125" style="1"/>
    <col min="3342" max="3342" width="27.7109375" style="1" bestFit="1" customWidth="1"/>
    <col min="3343" max="3343" width="12.28515625" style="1" bestFit="1" customWidth="1"/>
    <col min="3344" max="3586" width="11.42578125" style="1"/>
    <col min="3587" max="3587" width="22.28515625" style="1" bestFit="1" customWidth="1"/>
    <col min="3588" max="3588" width="11.42578125" style="1"/>
    <col min="3589" max="3589" width="16" style="1" bestFit="1" customWidth="1"/>
    <col min="3590" max="3590" width="21.7109375" style="1" bestFit="1" customWidth="1"/>
    <col min="3591" max="3591" width="23.42578125" style="1" bestFit="1" customWidth="1"/>
    <col min="3592" max="3592" width="11.42578125" style="1"/>
    <col min="3593" max="3593" width="21.5703125" style="1" customWidth="1"/>
    <col min="3594" max="3595" width="11.42578125" style="1"/>
    <col min="3596" max="3596" width="12.85546875" style="1" bestFit="1" customWidth="1"/>
    <col min="3597" max="3597" width="11.42578125" style="1"/>
    <col min="3598" max="3598" width="27.7109375" style="1" bestFit="1" customWidth="1"/>
    <col min="3599" max="3599" width="12.28515625" style="1" bestFit="1" customWidth="1"/>
    <col min="3600" max="3842" width="11.42578125" style="1"/>
    <col min="3843" max="3843" width="22.28515625" style="1" bestFit="1" customWidth="1"/>
    <col min="3844" max="3844" width="11.42578125" style="1"/>
    <col min="3845" max="3845" width="16" style="1" bestFit="1" customWidth="1"/>
    <col min="3846" max="3846" width="21.7109375" style="1" bestFit="1" customWidth="1"/>
    <col min="3847" max="3847" width="23.42578125" style="1" bestFit="1" customWidth="1"/>
    <col min="3848" max="3848" width="11.42578125" style="1"/>
    <col min="3849" max="3849" width="21.5703125" style="1" customWidth="1"/>
    <col min="3850" max="3851" width="11.42578125" style="1"/>
    <col min="3852" max="3852" width="12.85546875" style="1" bestFit="1" customWidth="1"/>
    <col min="3853" max="3853" width="11.42578125" style="1"/>
    <col min="3854" max="3854" width="27.7109375" style="1" bestFit="1" customWidth="1"/>
    <col min="3855" max="3855" width="12.28515625" style="1" bestFit="1" customWidth="1"/>
    <col min="3856" max="4098" width="11.42578125" style="1"/>
    <col min="4099" max="4099" width="22.28515625" style="1" bestFit="1" customWidth="1"/>
    <col min="4100" max="4100" width="11.42578125" style="1"/>
    <col min="4101" max="4101" width="16" style="1" bestFit="1" customWidth="1"/>
    <col min="4102" max="4102" width="21.7109375" style="1" bestFit="1" customWidth="1"/>
    <col min="4103" max="4103" width="23.42578125" style="1" bestFit="1" customWidth="1"/>
    <col min="4104" max="4104" width="11.42578125" style="1"/>
    <col min="4105" max="4105" width="21.5703125" style="1" customWidth="1"/>
    <col min="4106" max="4107" width="11.42578125" style="1"/>
    <col min="4108" max="4108" width="12.85546875" style="1" bestFit="1" customWidth="1"/>
    <col min="4109" max="4109" width="11.42578125" style="1"/>
    <col min="4110" max="4110" width="27.7109375" style="1" bestFit="1" customWidth="1"/>
    <col min="4111" max="4111" width="12.28515625" style="1" bestFit="1" customWidth="1"/>
    <col min="4112" max="4354" width="11.42578125" style="1"/>
    <col min="4355" max="4355" width="22.28515625" style="1" bestFit="1" customWidth="1"/>
    <col min="4356" max="4356" width="11.42578125" style="1"/>
    <col min="4357" max="4357" width="16" style="1" bestFit="1" customWidth="1"/>
    <col min="4358" max="4358" width="21.7109375" style="1" bestFit="1" customWidth="1"/>
    <col min="4359" max="4359" width="23.42578125" style="1" bestFit="1" customWidth="1"/>
    <col min="4360" max="4360" width="11.42578125" style="1"/>
    <col min="4361" max="4361" width="21.5703125" style="1" customWidth="1"/>
    <col min="4362" max="4363" width="11.42578125" style="1"/>
    <col min="4364" max="4364" width="12.85546875" style="1" bestFit="1" customWidth="1"/>
    <col min="4365" max="4365" width="11.42578125" style="1"/>
    <col min="4366" max="4366" width="27.7109375" style="1" bestFit="1" customWidth="1"/>
    <col min="4367" max="4367" width="12.28515625" style="1" bestFit="1" customWidth="1"/>
    <col min="4368" max="4610" width="11.42578125" style="1"/>
    <col min="4611" max="4611" width="22.28515625" style="1" bestFit="1" customWidth="1"/>
    <col min="4612" max="4612" width="11.42578125" style="1"/>
    <col min="4613" max="4613" width="16" style="1" bestFit="1" customWidth="1"/>
    <col min="4614" max="4614" width="21.7109375" style="1" bestFit="1" customWidth="1"/>
    <col min="4615" max="4615" width="23.42578125" style="1" bestFit="1" customWidth="1"/>
    <col min="4616" max="4616" width="11.42578125" style="1"/>
    <col min="4617" max="4617" width="21.5703125" style="1" customWidth="1"/>
    <col min="4618" max="4619" width="11.42578125" style="1"/>
    <col min="4620" max="4620" width="12.85546875" style="1" bestFit="1" customWidth="1"/>
    <col min="4621" max="4621" width="11.42578125" style="1"/>
    <col min="4622" max="4622" width="27.7109375" style="1" bestFit="1" customWidth="1"/>
    <col min="4623" max="4623" width="12.28515625" style="1" bestFit="1" customWidth="1"/>
    <col min="4624" max="4866" width="11.42578125" style="1"/>
    <col min="4867" max="4867" width="22.28515625" style="1" bestFit="1" customWidth="1"/>
    <col min="4868" max="4868" width="11.42578125" style="1"/>
    <col min="4869" max="4869" width="16" style="1" bestFit="1" customWidth="1"/>
    <col min="4870" max="4870" width="21.7109375" style="1" bestFit="1" customWidth="1"/>
    <col min="4871" max="4871" width="23.42578125" style="1" bestFit="1" customWidth="1"/>
    <col min="4872" max="4872" width="11.42578125" style="1"/>
    <col min="4873" max="4873" width="21.5703125" style="1" customWidth="1"/>
    <col min="4874" max="4875" width="11.42578125" style="1"/>
    <col min="4876" max="4876" width="12.85546875" style="1" bestFit="1" customWidth="1"/>
    <col min="4877" max="4877" width="11.42578125" style="1"/>
    <col min="4878" max="4878" width="27.7109375" style="1" bestFit="1" customWidth="1"/>
    <col min="4879" max="4879" width="12.28515625" style="1" bestFit="1" customWidth="1"/>
    <col min="4880" max="5122" width="11.42578125" style="1"/>
    <col min="5123" max="5123" width="22.28515625" style="1" bestFit="1" customWidth="1"/>
    <col min="5124" max="5124" width="11.42578125" style="1"/>
    <col min="5125" max="5125" width="16" style="1" bestFit="1" customWidth="1"/>
    <col min="5126" max="5126" width="21.7109375" style="1" bestFit="1" customWidth="1"/>
    <col min="5127" max="5127" width="23.42578125" style="1" bestFit="1" customWidth="1"/>
    <col min="5128" max="5128" width="11.42578125" style="1"/>
    <col min="5129" max="5129" width="21.5703125" style="1" customWidth="1"/>
    <col min="5130" max="5131" width="11.42578125" style="1"/>
    <col min="5132" max="5132" width="12.85546875" style="1" bestFit="1" customWidth="1"/>
    <col min="5133" max="5133" width="11.42578125" style="1"/>
    <col min="5134" max="5134" width="27.7109375" style="1" bestFit="1" customWidth="1"/>
    <col min="5135" max="5135" width="12.28515625" style="1" bestFit="1" customWidth="1"/>
    <col min="5136" max="5378" width="11.42578125" style="1"/>
    <col min="5379" max="5379" width="22.28515625" style="1" bestFit="1" customWidth="1"/>
    <col min="5380" max="5380" width="11.42578125" style="1"/>
    <col min="5381" max="5381" width="16" style="1" bestFit="1" customWidth="1"/>
    <col min="5382" max="5382" width="21.7109375" style="1" bestFit="1" customWidth="1"/>
    <col min="5383" max="5383" width="23.42578125" style="1" bestFit="1" customWidth="1"/>
    <col min="5384" max="5384" width="11.42578125" style="1"/>
    <col min="5385" max="5385" width="21.5703125" style="1" customWidth="1"/>
    <col min="5386" max="5387" width="11.42578125" style="1"/>
    <col min="5388" max="5388" width="12.85546875" style="1" bestFit="1" customWidth="1"/>
    <col min="5389" max="5389" width="11.42578125" style="1"/>
    <col min="5390" max="5390" width="27.7109375" style="1" bestFit="1" customWidth="1"/>
    <col min="5391" max="5391" width="12.28515625" style="1" bestFit="1" customWidth="1"/>
    <col min="5392" max="5634" width="11.42578125" style="1"/>
    <col min="5635" max="5635" width="22.28515625" style="1" bestFit="1" customWidth="1"/>
    <col min="5636" max="5636" width="11.42578125" style="1"/>
    <col min="5637" max="5637" width="16" style="1" bestFit="1" customWidth="1"/>
    <col min="5638" max="5638" width="21.7109375" style="1" bestFit="1" customWidth="1"/>
    <col min="5639" max="5639" width="23.42578125" style="1" bestFit="1" customWidth="1"/>
    <col min="5640" max="5640" width="11.42578125" style="1"/>
    <col min="5641" max="5641" width="21.5703125" style="1" customWidth="1"/>
    <col min="5642" max="5643" width="11.42578125" style="1"/>
    <col min="5644" max="5644" width="12.85546875" style="1" bestFit="1" customWidth="1"/>
    <col min="5645" max="5645" width="11.42578125" style="1"/>
    <col min="5646" max="5646" width="27.7109375" style="1" bestFit="1" customWidth="1"/>
    <col min="5647" max="5647" width="12.28515625" style="1" bestFit="1" customWidth="1"/>
    <col min="5648" max="5890" width="11.42578125" style="1"/>
    <col min="5891" max="5891" width="22.28515625" style="1" bestFit="1" customWidth="1"/>
    <col min="5892" max="5892" width="11.42578125" style="1"/>
    <col min="5893" max="5893" width="16" style="1" bestFit="1" customWidth="1"/>
    <col min="5894" max="5894" width="21.7109375" style="1" bestFit="1" customWidth="1"/>
    <col min="5895" max="5895" width="23.42578125" style="1" bestFit="1" customWidth="1"/>
    <col min="5896" max="5896" width="11.42578125" style="1"/>
    <col min="5897" max="5897" width="21.5703125" style="1" customWidth="1"/>
    <col min="5898" max="5899" width="11.42578125" style="1"/>
    <col min="5900" max="5900" width="12.85546875" style="1" bestFit="1" customWidth="1"/>
    <col min="5901" max="5901" width="11.42578125" style="1"/>
    <col min="5902" max="5902" width="27.7109375" style="1" bestFit="1" customWidth="1"/>
    <col min="5903" max="5903" width="12.28515625" style="1" bestFit="1" customWidth="1"/>
    <col min="5904" max="6146" width="11.42578125" style="1"/>
    <col min="6147" max="6147" width="22.28515625" style="1" bestFit="1" customWidth="1"/>
    <col min="6148" max="6148" width="11.42578125" style="1"/>
    <col min="6149" max="6149" width="16" style="1" bestFit="1" customWidth="1"/>
    <col min="6150" max="6150" width="21.7109375" style="1" bestFit="1" customWidth="1"/>
    <col min="6151" max="6151" width="23.42578125" style="1" bestFit="1" customWidth="1"/>
    <col min="6152" max="6152" width="11.42578125" style="1"/>
    <col min="6153" max="6153" width="21.5703125" style="1" customWidth="1"/>
    <col min="6154" max="6155" width="11.42578125" style="1"/>
    <col min="6156" max="6156" width="12.85546875" style="1" bestFit="1" customWidth="1"/>
    <col min="6157" max="6157" width="11.42578125" style="1"/>
    <col min="6158" max="6158" width="27.7109375" style="1" bestFit="1" customWidth="1"/>
    <col min="6159" max="6159" width="12.28515625" style="1" bestFit="1" customWidth="1"/>
    <col min="6160" max="6402" width="11.42578125" style="1"/>
    <col min="6403" max="6403" width="22.28515625" style="1" bestFit="1" customWidth="1"/>
    <col min="6404" max="6404" width="11.42578125" style="1"/>
    <col min="6405" max="6405" width="16" style="1" bestFit="1" customWidth="1"/>
    <col min="6406" max="6406" width="21.7109375" style="1" bestFit="1" customWidth="1"/>
    <col min="6407" max="6407" width="23.42578125" style="1" bestFit="1" customWidth="1"/>
    <col min="6408" max="6408" width="11.42578125" style="1"/>
    <col min="6409" max="6409" width="21.5703125" style="1" customWidth="1"/>
    <col min="6410" max="6411" width="11.42578125" style="1"/>
    <col min="6412" max="6412" width="12.85546875" style="1" bestFit="1" customWidth="1"/>
    <col min="6413" max="6413" width="11.42578125" style="1"/>
    <col min="6414" max="6414" width="27.7109375" style="1" bestFit="1" customWidth="1"/>
    <col min="6415" max="6415" width="12.28515625" style="1" bestFit="1" customWidth="1"/>
    <col min="6416" max="6658" width="11.42578125" style="1"/>
    <col min="6659" max="6659" width="22.28515625" style="1" bestFit="1" customWidth="1"/>
    <col min="6660" max="6660" width="11.42578125" style="1"/>
    <col min="6661" max="6661" width="16" style="1" bestFit="1" customWidth="1"/>
    <col min="6662" max="6662" width="21.7109375" style="1" bestFit="1" customWidth="1"/>
    <col min="6663" max="6663" width="23.42578125" style="1" bestFit="1" customWidth="1"/>
    <col min="6664" max="6664" width="11.42578125" style="1"/>
    <col min="6665" max="6665" width="21.5703125" style="1" customWidth="1"/>
    <col min="6666" max="6667" width="11.42578125" style="1"/>
    <col min="6668" max="6668" width="12.85546875" style="1" bestFit="1" customWidth="1"/>
    <col min="6669" max="6669" width="11.42578125" style="1"/>
    <col min="6670" max="6670" width="27.7109375" style="1" bestFit="1" customWidth="1"/>
    <col min="6671" max="6671" width="12.28515625" style="1" bestFit="1" customWidth="1"/>
    <col min="6672" max="6914" width="11.42578125" style="1"/>
    <col min="6915" max="6915" width="22.28515625" style="1" bestFit="1" customWidth="1"/>
    <col min="6916" max="6916" width="11.42578125" style="1"/>
    <col min="6917" max="6917" width="16" style="1" bestFit="1" customWidth="1"/>
    <col min="6918" max="6918" width="21.7109375" style="1" bestFit="1" customWidth="1"/>
    <col min="6919" max="6919" width="23.42578125" style="1" bestFit="1" customWidth="1"/>
    <col min="6920" max="6920" width="11.42578125" style="1"/>
    <col min="6921" max="6921" width="21.5703125" style="1" customWidth="1"/>
    <col min="6922" max="6923" width="11.42578125" style="1"/>
    <col min="6924" max="6924" width="12.85546875" style="1" bestFit="1" customWidth="1"/>
    <col min="6925" max="6925" width="11.42578125" style="1"/>
    <col min="6926" max="6926" width="27.7109375" style="1" bestFit="1" customWidth="1"/>
    <col min="6927" max="6927" width="12.28515625" style="1" bestFit="1" customWidth="1"/>
    <col min="6928" max="7170" width="11.42578125" style="1"/>
    <col min="7171" max="7171" width="22.28515625" style="1" bestFit="1" customWidth="1"/>
    <col min="7172" max="7172" width="11.42578125" style="1"/>
    <col min="7173" max="7173" width="16" style="1" bestFit="1" customWidth="1"/>
    <col min="7174" max="7174" width="21.7109375" style="1" bestFit="1" customWidth="1"/>
    <col min="7175" max="7175" width="23.42578125" style="1" bestFit="1" customWidth="1"/>
    <col min="7176" max="7176" width="11.42578125" style="1"/>
    <col min="7177" max="7177" width="21.5703125" style="1" customWidth="1"/>
    <col min="7178" max="7179" width="11.42578125" style="1"/>
    <col min="7180" max="7180" width="12.85546875" style="1" bestFit="1" customWidth="1"/>
    <col min="7181" max="7181" width="11.42578125" style="1"/>
    <col min="7182" max="7182" width="27.7109375" style="1" bestFit="1" customWidth="1"/>
    <col min="7183" max="7183" width="12.28515625" style="1" bestFit="1" customWidth="1"/>
    <col min="7184" max="7426" width="11.42578125" style="1"/>
    <col min="7427" max="7427" width="22.28515625" style="1" bestFit="1" customWidth="1"/>
    <col min="7428" max="7428" width="11.42578125" style="1"/>
    <col min="7429" max="7429" width="16" style="1" bestFit="1" customWidth="1"/>
    <col min="7430" max="7430" width="21.7109375" style="1" bestFit="1" customWidth="1"/>
    <col min="7431" max="7431" width="23.42578125" style="1" bestFit="1" customWidth="1"/>
    <col min="7432" max="7432" width="11.42578125" style="1"/>
    <col min="7433" max="7433" width="21.5703125" style="1" customWidth="1"/>
    <col min="7434" max="7435" width="11.42578125" style="1"/>
    <col min="7436" max="7436" width="12.85546875" style="1" bestFit="1" customWidth="1"/>
    <col min="7437" max="7437" width="11.42578125" style="1"/>
    <col min="7438" max="7438" width="27.7109375" style="1" bestFit="1" customWidth="1"/>
    <col min="7439" max="7439" width="12.28515625" style="1" bestFit="1" customWidth="1"/>
    <col min="7440" max="7682" width="11.42578125" style="1"/>
    <col min="7683" max="7683" width="22.28515625" style="1" bestFit="1" customWidth="1"/>
    <col min="7684" max="7684" width="11.42578125" style="1"/>
    <col min="7685" max="7685" width="16" style="1" bestFit="1" customWidth="1"/>
    <col min="7686" max="7686" width="21.7109375" style="1" bestFit="1" customWidth="1"/>
    <col min="7687" max="7687" width="23.42578125" style="1" bestFit="1" customWidth="1"/>
    <col min="7688" max="7688" width="11.42578125" style="1"/>
    <col min="7689" max="7689" width="21.5703125" style="1" customWidth="1"/>
    <col min="7690" max="7691" width="11.42578125" style="1"/>
    <col min="7692" max="7692" width="12.85546875" style="1" bestFit="1" customWidth="1"/>
    <col min="7693" max="7693" width="11.42578125" style="1"/>
    <col min="7694" max="7694" width="27.7109375" style="1" bestFit="1" customWidth="1"/>
    <col min="7695" max="7695" width="12.28515625" style="1" bestFit="1" customWidth="1"/>
    <col min="7696" max="7938" width="11.42578125" style="1"/>
    <col min="7939" max="7939" width="22.28515625" style="1" bestFit="1" customWidth="1"/>
    <col min="7940" max="7940" width="11.42578125" style="1"/>
    <col min="7941" max="7941" width="16" style="1" bestFit="1" customWidth="1"/>
    <col min="7942" max="7942" width="21.7109375" style="1" bestFit="1" customWidth="1"/>
    <col min="7943" max="7943" width="23.42578125" style="1" bestFit="1" customWidth="1"/>
    <col min="7944" max="7944" width="11.42578125" style="1"/>
    <col min="7945" max="7945" width="21.5703125" style="1" customWidth="1"/>
    <col min="7946" max="7947" width="11.42578125" style="1"/>
    <col min="7948" max="7948" width="12.85546875" style="1" bestFit="1" customWidth="1"/>
    <col min="7949" max="7949" width="11.42578125" style="1"/>
    <col min="7950" max="7950" width="27.7109375" style="1" bestFit="1" customWidth="1"/>
    <col min="7951" max="7951" width="12.28515625" style="1" bestFit="1" customWidth="1"/>
    <col min="7952" max="8194" width="11.42578125" style="1"/>
    <col min="8195" max="8195" width="22.28515625" style="1" bestFit="1" customWidth="1"/>
    <col min="8196" max="8196" width="11.42578125" style="1"/>
    <col min="8197" max="8197" width="16" style="1" bestFit="1" customWidth="1"/>
    <col min="8198" max="8198" width="21.7109375" style="1" bestFit="1" customWidth="1"/>
    <col min="8199" max="8199" width="23.42578125" style="1" bestFit="1" customWidth="1"/>
    <col min="8200" max="8200" width="11.42578125" style="1"/>
    <col min="8201" max="8201" width="21.5703125" style="1" customWidth="1"/>
    <col min="8202" max="8203" width="11.42578125" style="1"/>
    <col min="8204" max="8204" width="12.85546875" style="1" bestFit="1" customWidth="1"/>
    <col min="8205" max="8205" width="11.42578125" style="1"/>
    <col min="8206" max="8206" width="27.7109375" style="1" bestFit="1" customWidth="1"/>
    <col min="8207" max="8207" width="12.28515625" style="1" bestFit="1" customWidth="1"/>
    <col min="8208" max="8450" width="11.42578125" style="1"/>
    <col min="8451" max="8451" width="22.28515625" style="1" bestFit="1" customWidth="1"/>
    <col min="8452" max="8452" width="11.42578125" style="1"/>
    <col min="8453" max="8453" width="16" style="1" bestFit="1" customWidth="1"/>
    <col min="8454" max="8454" width="21.7109375" style="1" bestFit="1" customWidth="1"/>
    <col min="8455" max="8455" width="23.42578125" style="1" bestFit="1" customWidth="1"/>
    <col min="8456" max="8456" width="11.42578125" style="1"/>
    <col min="8457" max="8457" width="21.5703125" style="1" customWidth="1"/>
    <col min="8458" max="8459" width="11.42578125" style="1"/>
    <col min="8460" max="8460" width="12.85546875" style="1" bestFit="1" customWidth="1"/>
    <col min="8461" max="8461" width="11.42578125" style="1"/>
    <col min="8462" max="8462" width="27.7109375" style="1" bestFit="1" customWidth="1"/>
    <col min="8463" max="8463" width="12.28515625" style="1" bestFit="1" customWidth="1"/>
    <col min="8464" max="8706" width="11.42578125" style="1"/>
    <col min="8707" max="8707" width="22.28515625" style="1" bestFit="1" customWidth="1"/>
    <col min="8708" max="8708" width="11.42578125" style="1"/>
    <col min="8709" max="8709" width="16" style="1" bestFit="1" customWidth="1"/>
    <col min="8710" max="8710" width="21.7109375" style="1" bestFit="1" customWidth="1"/>
    <col min="8711" max="8711" width="23.42578125" style="1" bestFit="1" customWidth="1"/>
    <col min="8712" max="8712" width="11.42578125" style="1"/>
    <col min="8713" max="8713" width="21.5703125" style="1" customWidth="1"/>
    <col min="8714" max="8715" width="11.42578125" style="1"/>
    <col min="8716" max="8716" width="12.85546875" style="1" bestFit="1" customWidth="1"/>
    <col min="8717" max="8717" width="11.42578125" style="1"/>
    <col min="8718" max="8718" width="27.7109375" style="1" bestFit="1" customWidth="1"/>
    <col min="8719" max="8719" width="12.28515625" style="1" bestFit="1" customWidth="1"/>
    <col min="8720" max="8962" width="11.42578125" style="1"/>
    <col min="8963" max="8963" width="22.28515625" style="1" bestFit="1" customWidth="1"/>
    <col min="8964" max="8964" width="11.42578125" style="1"/>
    <col min="8965" max="8965" width="16" style="1" bestFit="1" customWidth="1"/>
    <col min="8966" max="8966" width="21.7109375" style="1" bestFit="1" customWidth="1"/>
    <col min="8967" max="8967" width="23.42578125" style="1" bestFit="1" customWidth="1"/>
    <col min="8968" max="8968" width="11.42578125" style="1"/>
    <col min="8969" max="8969" width="21.5703125" style="1" customWidth="1"/>
    <col min="8970" max="8971" width="11.42578125" style="1"/>
    <col min="8972" max="8972" width="12.85546875" style="1" bestFit="1" customWidth="1"/>
    <col min="8973" max="8973" width="11.42578125" style="1"/>
    <col min="8974" max="8974" width="27.7109375" style="1" bestFit="1" customWidth="1"/>
    <col min="8975" max="8975" width="12.28515625" style="1" bestFit="1" customWidth="1"/>
    <col min="8976" max="9218" width="11.42578125" style="1"/>
    <col min="9219" max="9219" width="22.28515625" style="1" bestFit="1" customWidth="1"/>
    <col min="9220" max="9220" width="11.42578125" style="1"/>
    <col min="9221" max="9221" width="16" style="1" bestFit="1" customWidth="1"/>
    <col min="9222" max="9222" width="21.7109375" style="1" bestFit="1" customWidth="1"/>
    <col min="9223" max="9223" width="23.42578125" style="1" bestFit="1" customWidth="1"/>
    <col min="9224" max="9224" width="11.42578125" style="1"/>
    <col min="9225" max="9225" width="21.5703125" style="1" customWidth="1"/>
    <col min="9226" max="9227" width="11.42578125" style="1"/>
    <col min="9228" max="9228" width="12.85546875" style="1" bestFit="1" customWidth="1"/>
    <col min="9229" max="9229" width="11.42578125" style="1"/>
    <col min="9230" max="9230" width="27.7109375" style="1" bestFit="1" customWidth="1"/>
    <col min="9231" max="9231" width="12.28515625" style="1" bestFit="1" customWidth="1"/>
    <col min="9232" max="9474" width="11.42578125" style="1"/>
    <col min="9475" max="9475" width="22.28515625" style="1" bestFit="1" customWidth="1"/>
    <col min="9476" max="9476" width="11.42578125" style="1"/>
    <col min="9477" max="9477" width="16" style="1" bestFit="1" customWidth="1"/>
    <col min="9478" max="9478" width="21.7109375" style="1" bestFit="1" customWidth="1"/>
    <col min="9479" max="9479" width="23.42578125" style="1" bestFit="1" customWidth="1"/>
    <col min="9480" max="9480" width="11.42578125" style="1"/>
    <col min="9481" max="9481" width="21.5703125" style="1" customWidth="1"/>
    <col min="9482" max="9483" width="11.42578125" style="1"/>
    <col min="9484" max="9484" width="12.85546875" style="1" bestFit="1" customWidth="1"/>
    <col min="9485" max="9485" width="11.42578125" style="1"/>
    <col min="9486" max="9486" width="27.7109375" style="1" bestFit="1" customWidth="1"/>
    <col min="9487" max="9487" width="12.28515625" style="1" bestFit="1" customWidth="1"/>
    <col min="9488" max="9730" width="11.42578125" style="1"/>
    <col min="9731" max="9731" width="22.28515625" style="1" bestFit="1" customWidth="1"/>
    <col min="9732" max="9732" width="11.42578125" style="1"/>
    <col min="9733" max="9733" width="16" style="1" bestFit="1" customWidth="1"/>
    <col min="9734" max="9734" width="21.7109375" style="1" bestFit="1" customWidth="1"/>
    <col min="9735" max="9735" width="23.42578125" style="1" bestFit="1" customWidth="1"/>
    <col min="9736" max="9736" width="11.42578125" style="1"/>
    <col min="9737" max="9737" width="21.5703125" style="1" customWidth="1"/>
    <col min="9738" max="9739" width="11.42578125" style="1"/>
    <col min="9740" max="9740" width="12.85546875" style="1" bestFit="1" customWidth="1"/>
    <col min="9741" max="9741" width="11.42578125" style="1"/>
    <col min="9742" max="9742" width="27.7109375" style="1" bestFit="1" customWidth="1"/>
    <col min="9743" max="9743" width="12.28515625" style="1" bestFit="1" customWidth="1"/>
    <col min="9744" max="9986" width="11.42578125" style="1"/>
    <col min="9987" max="9987" width="22.28515625" style="1" bestFit="1" customWidth="1"/>
    <col min="9988" max="9988" width="11.42578125" style="1"/>
    <col min="9989" max="9989" width="16" style="1" bestFit="1" customWidth="1"/>
    <col min="9990" max="9990" width="21.7109375" style="1" bestFit="1" customWidth="1"/>
    <col min="9991" max="9991" width="23.42578125" style="1" bestFit="1" customWidth="1"/>
    <col min="9992" max="9992" width="11.42578125" style="1"/>
    <col min="9993" max="9993" width="21.5703125" style="1" customWidth="1"/>
    <col min="9994" max="9995" width="11.42578125" style="1"/>
    <col min="9996" max="9996" width="12.85546875" style="1" bestFit="1" customWidth="1"/>
    <col min="9997" max="9997" width="11.42578125" style="1"/>
    <col min="9998" max="9998" width="27.7109375" style="1" bestFit="1" customWidth="1"/>
    <col min="9999" max="9999" width="12.28515625" style="1" bestFit="1" customWidth="1"/>
    <col min="10000" max="10242" width="11.42578125" style="1"/>
    <col min="10243" max="10243" width="22.28515625" style="1" bestFit="1" customWidth="1"/>
    <col min="10244" max="10244" width="11.42578125" style="1"/>
    <col min="10245" max="10245" width="16" style="1" bestFit="1" customWidth="1"/>
    <col min="10246" max="10246" width="21.7109375" style="1" bestFit="1" customWidth="1"/>
    <col min="10247" max="10247" width="23.42578125" style="1" bestFit="1" customWidth="1"/>
    <col min="10248" max="10248" width="11.42578125" style="1"/>
    <col min="10249" max="10249" width="21.5703125" style="1" customWidth="1"/>
    <col min="10250" max="10251" width="11.42578125" style="1"/>
    <col min="10252" max="10252" width="12.85546875" style="1" bestFit="1" customWidth="1"/>
    <col min="10253" max="10253" width="11.42578125" style="1"/>
    <col min="10254" max="10254" width="27.7109375" style="1" bestFit="1" customWidth="1"/>
    <col min="10255" max="10255" width="12.28515625" style="1" bestFit="1" customWidth="1"/>
    <col min="10256" max="10498" width="11.42578125" style="1"/>
    <col min="10499" max="10499" width="22.28515625" style="1" bestFit="1" customWidth="1"/>
    <col min="10500" max="10500" width="11.42578125" style="1"/>
    <col min="10501" max="10501" width="16" style="1" bestFit="1" customWidth="1"/>
    <col min="10502" max="10502" width="21.7109375" style="1" bestFit="1" customWidth="1"/>
    <col min="10503" max="10503" width="23.42578125" style="1" bestFit="1" customWidth="1"/>
    <col min="10504" max="10504" width="11.42578125" style="1"/>
    <col min="10505" max="10505" width="21.5703125" style="1" customWidth="1"/>
    <col min="10506" max="10507" width="11.42578125" style="1"/>
    <col min="10508" max="10508" width="12.85546875" style="1" bestFit="1" customWidth="1"/>
    <col min="10509" max="10509" width="11.42578125" style="1"/>
    <col min="10510" max="10510" width="27.7109375" style="1" bestFit="1" customWidth="1"/>
    <col min="10511" max="10511" width="12.28515625" style="1" bestFit="1" customWidth="1"/>
    <col min="10512" max="10754" width="11.42578125" style="1"/>
    <col min="10755" max="10755" width="22.28515625" style="1" bestFit="1" customWidth="1"/>
    <col min="10756" max="10756" width="11.42578125" style="1"/>
    <col min="10757" max="10757" width="16" style="1" bestFit="1" customWidth="1"/>
    <col min="10758" max="10758" width="21.7109375" style="1" bestFit="1" customWidth="1"/>
    <col min="10759" max="10759" width="23.42578125" style="1" bestFit="1" customWidth="1"/>
    <col min="10760" max="10760" width="11.42578125" style="1"/>
    <col min="10761" max="10761" width="21.5703125" style="1" customWidth="1"/>
    <col min="10762" max="10763" width="11.42578125" style="1"/>
    <col min="10764" max="10764" width="12.85546875" style="1" bestFit="1" customWidth="1"/>
    <col min="10765" max="10765" width="11.42578125" style="1"/>
    <col min="10766" max="10766" width="27.7109375" style="1" bestFit="1" customWidth="1"/>
    <col min="10767" max="10767" width="12.28515625" style="1" bestFit="1" customWidth="1"/>
    <col min="10768" max="11010" width="11.42578125" style="1"/>
    <col min="11011" max="11011" width="22.28515625" style="1" bestFit="1" customWidth="1"/>
    <col min="11012" max="11012" width="11.42578125" style="1"/>
    <col min="11013" max="11013" width="16" style="1" bestFit="1" customWidth="1"/>
    <col min="11014" max="11014" width="21.7109375" style="1" bestFit="1" customWidth="1"/>
    <col min="11015" max="11015" width="23.42578125" style="1" bestFit="1" customWidth="1"/>
    <col min="11016" max="11016" width="11.42578125" style="1"/>
    <col min="11017" max="11017" width="21.5703125" style="1" customWidth="1"/>
    <col min="11018" max="11019" width="11.42578125" style="1"/>
    <col min="11020" max="11020" width="12.85546875" style="1" bestFit="1" customWidth="1"/>
    <col min="11021" max="11021" width="11.42578125" style="1"/>
    <col min="11022" max="11022" width="27.7109375" style="1" bestFit="1" customWidth="1"/>
    <col min="11023" max="11023" width="12.28515625" style="1" bestFit="1" customWidth="1"/>
    <col min="11024" max="11266" width="11.42578125" style="1"/>
    <col min="11267" max="11267" width="22.28515625" style="1" bestFit="1" customWidth="1"/>
    <col min="11268" max="11268" width="11.42578125" style="1"/>
    <col min="11269" max="11269" width="16" style="1" bestFit="1" customWidth="1"/>
    <col min="11270" max="11270" width="21.7109375" style="1" bestFit="1" customWidth="1"/>
    <col min="11271" max="11271" width="23.42578125" style="1" bestFit="1" customWidth="1"/>
    <col min="11272" max="11272" width="11.42578125" style="1"/>
    <col min="11273" max="11273" width="21.5703125" style="1" customWidth="1"/>
    <col min="11274" max="11275" width="11.42578125" style="1"/>
    <col min="11276" max="11276" width="12.85546875" style="1" bestFit="1" customWidth="1"/>
    <col min="11277" max="11277" width="11.42578125" style="1"/>
    <col min="11278" max="11278" width="27.7109375" style="1" bestFit="1" customWidth="1"/>
    <col min="11279" max="11279" width="12.28515625" style="1" bestFit="1" customWidth="1"/>
    <col min="11280" max="11522" width="11.42578125" style="1"/>
    <col min="11523" max="11523" width="22.28515625" style="1" bestFit="1" customWidth="1"/>
    <col min="11524" max="11524" width="11.42578125" style="1"/>
    <col min="11525" max="11525" width="16" style="1" bestFit="1" customWidth="1"/>
    <col min="11526" max="11526" width="21.7109375" style="1" bestFit="1" customWidth="1"/>
    <col min="11527" max="11527" width="23.42578125" style="1" bestFit="1" customWidth="1"/>
    <col min="11528" max="11528" width="11.42578125" style="1"/>
    <col min="11529" max="11529" width="21.5703125" style="1" customWidth="1"/>
    <col min="11530" max="11531" width="11.42578125" style="1"/>
    <col min="11532" max="11532" width="12.85546875" style="1" bestFit="1" customWidth="1"/>
    <col min="11533" max="11533" width="11.42578125" style="1"/>
    <col min="11534" max="11534" width="27.7109375" style="1" bestFit="1" customWidth="1"/>
    <col min="11535" max="11535" width="12.28515625" style="1" bestFit="1" customWidth="1"/>
    <col min="11536" max="11778" width="11.42578125" style="1"/>
    <col min="11779" max="11779" width="22.28515625" style="1" bestFit="1" customWidth="1"/>
    <col min="11780" max="11780" width="11.42578125" style="1"/>
    <col min="11781" max="11781" width="16" style="1" bestFit="1" customWidth="1"/>
    <col min="11782" max="11782" width="21.7109375" style="1" bestFit="1" customWidth="1"/>
    <col min="11783" max="11783" width="23.42578125" style="1" bestFit="1" customWidth="1"/>
    <col min="11784" max="11784" width="11.42578125" style="1"/>
    <col min="11785" max="11785" width="21.5703125" style="1" customWidth="1"/>
    <col min="11786" max="11787" width="11.42578125" style="1"/>
    <col min="11788" max="11788" width="12.85546875" style="1" bestFit="1" customWidth="1"/>
    <col min="11789" max="11789" width="11.42578125" style="1"/>
    <col min="11790" max="11790" width="27.7109375" style="1" bestFit="1" customWidth="1"/>
    <col min="11791" max="11791" width="12.28515625" style="1" bestFit="1" customWidth="1"/>
    <col min="11792" max="12034" width="11.42578125" style="1"/>
    <col min="12035" max="12035" width="22.28515625" style="1" bestFit="1" customWidth="1"/>
    <col min="12036" max="12036" width="11.42578125" style="1"/>
    <col min="12037" max="12037" width="16" style="1" bestFit="1" customWidth="1"/>
    <col min="12038" max="12038" width="21.7109375" style="1" bestFit="1" customWidth="1"/>
    <col min="12039" max="12039" width="23.42578125" style="1" bestFit="1" customWidth="1"/>
    <col min="12040" max="12040" width="11.42578125" style="1"/>
    <col min="12041" max="12041" width="21.5703125" style="1" customWidth="1"/>
    <col min="12042" max="12043" width="11.42578125" style="1"/>
    <col min="12044" max="12044" width="12.85546875" style="1" bestFit="1" customWidth="1"/>
    <col min="12045" max="12045" width="11.42578125" style="1"/>
    <col min="12046" max="12046" width="27.7109375" style="1" bestFit="1" customWidth="1"/>
    <col min="12047" max="12047" width="12.28515625" style="1" bestFit="1" customWidth="1"/>
    <col min="12048" max="12290" width="11.42578125" style="1"/>
    <col min="12291" max="12291" width="22.28515625" style="1" bestFit="1" customWidth="1"/>
    <col min="12292" max="12292" width="11.42578125" style="1"/>
    <col min="12293" max="12293" width="16" style="1" bestFit="1" customWidth="1"/>
    <col min="12294" max="12294" width="21.7109375" style="1" bestFit="1" customWidth="1"/>
    <col min="12295" max="12295" width="23.42578125" style="1" bestFit="1" customWidth="1"/>
    <col min="12296" max="12296" width="11.42578125" style="1"/>
    <col min="12297" max="12297" width="21.5703125" style="1" customWidth="1"/>
    <col min="12298" max="12299" width="11.42578125" style="1"/>
    <col min="12300" max="12300" width="12.85546875" style="1" bestFit="1" customWidth="1"/>
    <col min="12301" max="12301" width="11.42578125" style="1"/>
    <col min="12302" max="12302" width="27.7109375" style="1" bestFit="1" customWidth="1"/>
    <col min="12303" max="12303" width="12.28515625" style="1" bestFit="1" customWidth="1"/>
    <col min="12304" max="12546" width="11.42578125" style="1"/>
    <col min="12547" max="12547" width="22.28515625" style="1" bestFit="1" customWidth="1"/>
    <col min="12548" max="12548" width="11.42578125" style="1"/>
    <col min="12549" max="12549" width="16" style="1" bestFit="1" customWidth="1"/>
    <col min="12550" max="12550" width="21.7109375" style="1" bestFit="1" customWidth="1"/>
    <col min="12551" max="12551" width="23.42578125" style="1" bestFit="1" customWidth="1"/>
    <col min="12552" max="12552" width="11.42578125" style="1"/>
    <col min="12553" max="12553" width="21.5703125" style="1" customWidth="1"/>
    <col min="12554" max="12555" width="11.42578125" style="1"/>
    <col min="12556" max="12556" width="12.85546875" style="1" bestFit="1" customWidth="1"/>
    <col min="12557" max="12557" width="11.42578125" style="1"/>
    <col min="12558" max="12558" width="27.7109375" style="1" bestFit="1" customWidth="1"/>
    <col min="12559" max="12559" width="12.28515625" style="1" bestFit="1" customWidth="1"/>
    <col min="12560" max="12802" width="11.42578125" style="1"/>
    <col min="12803" max="12803" width="22.28515625" style="1" bestFit="1" customWidth="1"/>
    <col min="12804" max="12804" width="11.42578125" style="1"/>
    <col min="12805" max="12805" width="16" style="1" bestFit="1" customWidth="1"/>
    <col min="12806" max="12806" width="21.7109375" style="1" bestFit="1" customWidth="1"/>
    <col min="12807" max="12807" width="23.42578125" style="1" bestFit="1" customWidth="1"/>
    <col min="12808" max="12808" width="11.42578125" style="1"/>
    <col min="12809" max="12809" width="21.5703125" style="1" customWidth="1"/>
    <col min="12810" max="12811" width="11.42578125" style="1"/>
    <col min="12812" max="12812" width="12.85546875" style="1" bestFit="1" customWidth="1"/>
    <col min="12813" max="12813" width="11.42578125" style="1"/>
    <col min="12814" max="12814" width="27.7109375" style="1" bestFit="1" customWidth="1"/>
    <col min="12815" max="12815" width="12.28515625" style="1" bestFit="1" customWidth="1"/>
    <col min="12816" max="13058" width="11.42578125" style="1"/>
    <col min="13059" max="13059" width="22.28515625" style="1" bestFit="1" customWidth="1"/>
    <col min="13060" max="13060" width="11.42578125" style="1"/>
    <col min="13061" max="13061" width="16" style="1" bestFit="1" customWidth="1"/>
    <col min="13062" max="13062" width="21.7109375" style="1" bestFit="1" customWidth="1"/>
    <col min="13063" max="13063" width="23.42578125" style="1" bestFit="1" customWidth="1"/>
    <col min="13064" max="13064" width="11.42578125" style="1"/>
    <col min="13065" max="13065" width="21.5703125" style="1" customWidth="1"/>
    <col min="13066" max="13067" width="11.42578125" style="1"/>
    <col min="13068" max="13068" width="12.85546875" style="1" bestFit="1" customWidth="1"/>
    <col min="13069" max="13069" width="11.42578125" style="1"/>
    <col min="13070" max="13070" width="27.7109375" style="1" bestFit="1" customWidth="1"/>
    <col min="13071" max="13071" width="12.28515625" style="1" bestFit="1" customWidth="1"/>
    <col min="13072" max="13314" width="11.42578125" style="1"/>
    <col min="13315" max="13315" width="22.28515625" style="1" bestFit="1" customWidth="1"/>
    <col min="13316" max="13316" width="11.42578125" style="1"/>
    <col min="13317" max="13317" width="16" style="1" bestFit="1" customWidth="1"/>
    <col min="13318" max="13318" width="21.7109375" style="1" bestFit="1" customWidth="1"/>
    <col min="13319" max="13319" width="23.42578125" style="1" bestFit="1" customWidth="1"/>
    <col min="13320" max="13320" width="11.42578125" style="1"/>
    <col min="13321" max="13321" width="21.5703125" style="1" customWidth="1"/>
    <col min="13322" max="13323" width="11.42578125" style="1"/>
    <col min="13324" max="13324" width="12.85546875" style="1" bestFit="1" customWidth="1"/>
    <col min="13325" max="13325" width="11.42578125" style="1"/>
    <col min="13326" max="13326" width="27.7109375" style="1" bestFit="1" customWidth="1"/>
    <col min="13327" max="13327" width="12.28515625" style="1" bestFit="1" customWidth="1"/>
    <col min="13328" max="13570" width="11.42578125" style="1"/>
    <col min="13571" max="13571" width="22.28515625" style="1" bestFit="1" customWidth="1"/>
    <col min="13572" max="13572" width="11.42578125" style="1"/>
    <col min="13573" max="13573" width="16" style="1" bestFit="1" customWidth="1"/>
    <col min="13574" max="13574" width="21.7109375" style="1" bestFit="1" customWidth="1"/>
    <col min="13575" max="13575" width="23.42578125" style="1" bestFit="1" customWidth="1"/>
    <col min="13576" max="13576" width="11.42578125" style="1"/>
    <col min="13577" max="13577" width="21.5703125" style="1" customWidth="1"/>
    <col min="13578" max="13579" width="11.42578125" style="1"/>
    <col min="13580" max="13580" width="12.85546875" style="1" bestFit="1" customWidth="1"/>
    <col min="13581" max="13581" width="11.42578125" style="1"/>
    <col min="13582" max="13582" width="27.7109375" style="1" bestFit="1" customWidth="1"/>
    <col min="13583" max="13583" width="12.28515625" style="1" bestFit="1" customWidth="1"/>
    <col min="13584" max="13826" width="11.42578125" style="1"/>
    <col min="13827" max="13827" width="22.28515625" style="1" bestFit="1" customWidth="1"/>
    <col min="13828" max="13828" width="11.42578125" style="1"/>
    <col min="13829" max="13829" width="16" style="1" bestFit="1" customWidth="1"/>
    <col min="13830" max="13830" width="21.7109375" style="1" bestFit="1" customWidth="1"/>
    <col min="13831" max="13831" width="23.42578125" style="1" bestFit="1" customWidth="1"/>
    <col min="13832" max="13832" width="11.42578125" style="1"/>
    <col min="13833" max="13833" width="21.5703125" style="1" customWidth="1"/>
    <col min="13834" max="13835" width="11.42578125" style="1"/>
    <col min="13836" max="13836" width="12.85546875" style="1" bestFit="1" customWidth="1"/>
    <col min="13837" max="13837" width="11.42578125" style="1"/>
    <col min="13838" max="13838" width="27.7109375" style="1" bestFit="1" customWidth="1"/>
    <col min="13839" max="13839" width="12.28515625" style="1" bestFit="1" customWidth="1"/>
    <col min="13840" max="14082" width="11.42578125" style="1"/>
    <col min="14083" max="14083" width="22.28515625" style="1" bestFit="1" customWidth="1"/>
    <col min="14084" max="14084" width="11.42578125" style="1"/>
    <col min="14085" max="14085" width="16" style="1" bestFit="1" customWidth="1"/>
    <col min="14086" max="14086" width="21.7109375" style="1" bestFit="1" customWidth="1"/>
    <col min="14087" max="14087" width="23.42578125" style="1" bestFit="1" customWidth="1"/>
    <col min="14088" max="14088" width="11.42578125" style="1"/>
    <col min="14089" max="14089" width="21.5703125" style="1" customWidth="1"/>
    <col min="14090" max="14091" width="11.42578125" style="1"/>
    <col min="14092" max="14092" width="12.85546875" style="1" bestFit="1" customWidth="1"/>
    <col min="14093" max="14093" width="11.42578125" style="1"/>
    <col min="14094" max="14094" width="27.7109375" style="1" bestFit="1" customWidth="1"/>
    <col min="14095" max="14095" width="12.28515625" style="1" bestFit="1" customWidth="1"/>
    <col min="14096" max="14338" width="11.42578125" style="1"/>
    <col min="14339" max="14339" width="22.28515625" style="1" bestFit="1" customWidth="1"/>
    <col min="14340" max="14340" width="11.42578125" style="1"/>
    <col min="14341" max="14341" width="16" style="1" bestFit="1" customWidth="1"/>
    <col min="14342" max="14342" width="21.7109375" style="1" bestFit="1" customWidth="1"/>
    <col min="14343" max="14343" width="23.42578125" style="1" bestFit="1" customWidth="1"/>
    <col min="14344" max="14344" width="11.42578125" style="1"/>
    <col min="14345" max="14345" width="21.5703125" style="1" customWidth="1"/>
    <col min="14346" max="14347" width="11.42578125" style="1"/>
    <col min="14348" max="14348" width="12.85546875" style="1" bestFit="1" customWidth="1"/>
    <col min="14349" max="14349" width="11.42578125" style="1"/>
    <col min="14350" max="14350" width="27.7109375" style="1" bestFit="1" customWidth="1"/>
    <col min="14351" max="14351" width="12.28515625" style="1" bestFit="1" customWidth="1"/>
    <col min="14352" max="14594" width="11.42578125" style="1"/>
    <col min="14595" max="14595" width="22.28515625" style="1" bestFit="1" customWidth="1"/>
    <col min="14596" max="14596" width="11.42578125" style="1"/>
    <col min="14597" max="14597" width="16" style="1" bestFit="1" customWidth="1"/>
    <col min="14598" max="14598" width="21.7109375" style="1" bestFit="1" customWidth="1"/>
    <col min="14599" max="14599" width="23.42578125" style="1" bestFit="1" customWidth="1"/>
    <col min="14600" max="14600" width="11.42578125" style="1"/>
    <col min="14601" max="14601" width="21.5703125" style="1" customWidth="1"/>
    <col min="14602" max="14603" width="11.42578125" style="1"/>
    <col min="14604" max="14604" width="12.85546875" style="1" bestFit="1" customWidth="1"/>
    <col min="14605" max="14605" width="11.42578125" style="1"/>
    <col min="14606" max="14606" width="27.7109375" style="1" bestFit="1" customWidth="1"/>
    <col min="14607" max="14607" width="12.28515625" style="1" bestFit="1" customWidth="1"/>
    <col min="14608" max="14850" width="11.42578125" style="1"/>
    <col min="14851" max="14851" width="22.28515625" style="1" bestFit="1" customWidth="1"/>
    <col min="14852" max="14852" width="11.42578125" style="1"/>
    <col min="14853" max="14853" width="16" style="1" bestFit="1" customWidth="1"/>
    <col min="14854" max="14854" width="21.7109375" style="1" bestFit="1" customWidth="1"/>
    <col min="14855" max="14855" width="23.42578125" style="1" bestFit="1" customWidth="1"/>
    <col min="14856" max="14856" width="11.42578125" style="1"/>
    <col min="14857" max="14857" width="21.5703125" style="1" customWidth="1"/>
    <col min="14858" max="14859" width="11.42578125" style="1"/>
    <col min="14860" max="14860" width="12.85546875" style="1" bestFit="1" customWidth="1"/>
    <col min="14861" max="14861" width="11.42578125" style="1"/>
    <col min="14862" max="14862" width="27.7109375" style="1" bestFit="1" customWidth="1"/>
    <col min="14863" max="14863" width="12.28515625" style="1" bestFit="1" customWidth="1"/>
    <col min="14864" max="15106" width="11.42578125" style="1"/>
    <col min="15107" max="15107" width="22.28515625" style="1" bestFit="1" customWidth="1"/>
    <col min="15108" max="15108" width="11.42578125" style="1"/>
    <col min="15109" max="15109" width="16" style="1" bestFit="1" customWidth="1"/>
    <col min="15110" max="15110" width="21.7109375" style="1" bestFit="1" customWidth="1"/>
    <col min="15111" max="15111" width="23.42578125" style="1" bestFit="1" customWidth="1"/>
    <col min="15112" max="15112" width="11.42578125" style="1"/>
    <col min="15113" max="15113" width="21.5703125" style="1" customWidth="1"/>
    <col min="15114" max="15115" width="11.42578125" style="1"/>
    <col min="15116" max="15116" width="12.85546875" style="1" bestFit="1" customWidth="1"/>
    <col min="15117" max="15117" width="11.42578125" style="1"/>
    <col min="15118" max="15118" width="27.7109375" style="1" bestFit="1" customWidth="1"/>
    <col min="15119" max="15119" width="12.28515625" style="1" bestFit="1" customWidth="1"/>
    <col min="15120" max="15362" width="11.42578125" style="1"/>
    <col min="15363" max="15363" width="22.28515625" style="1" bestFit="1" customWidth="1"/>
    <col min="15364" max="15364" width="11.42578125" style="1"/>
    <col min="15365" max="15365" width="16" style="1" bestFit="1" customWidth="1"/>
    <col min="15366" max="15366" width="21.7109375" style="1" bestFit="1" customWidth="1"/>
    <col min="15367" max="15367" width="23.42578125" style="1" bestFit="1" customWidth="1"/>
    <col min="15368" max="15368" width="11.42578125" style="1"/>
    <col min="15369" max="15369" width="21.5703125" style="1" customWidth="1"/>
    <col min="15370" max="15371" width="11.42578125" style="1"/>
    <col min="15372" max="15372" width="12.85546875" style="1" bestFit="1" customWidth="1"/>
    <col min="15373" max="15373" width="11.42578125" style="1"/>
    <col min="15374" max="15374" width="27.7109375" style="1" bestFit="1" customWidth="1"/>
    <col min="15375" max="15375" width="12.28515625" style="1" bestFit="1" customWidth="1"/>
    <col min="15376" max="15618" width="11.42578125" style="1"/>
    <col min="15619" max="15619" width="22.28515625" style="1" bestFit="1" customWidth="1"/>
    <col min="15620" max="15620" width="11.42578125" style="1"/>
    <col min="15621" max="15621" width="16" style="1" bestFit="1" customWidth="1"/>
    <col min="15622" max="15622" width="21.7109375" style="1" bestFit="1" customWidth="1"/>
    <col min="15623" max="15623" width="23.42578125" style="1" bestFit="1" customWidth="1"/>
    <col min="15624" max="15624" width="11.42578125" style="1"/>
    <col min="15625" max="15625" width="21.5703125" style="1" customWidth="1"/>
    <col min="15626" max="15627" width="11.42578125" style="1"/>
    <col min="15628" max="15628" width="12.85546875" style="1" bestFit="1" customWidth="1"/>
    <col min="15629" max="15629" width="11.42578125" style="1"/>
    <col min="15630" max="15630" width="27.7109375" style="1" bestFit="1" customWidth="1"/>
    <col min="15631" max="15631" width="12.28515625" style="1" bestFit="1" customWidth="1"/>
    <col min="15632" max="15874" width="11.42578125" style="1"/>
    <col min="15875" max="15875" width="22.28515625" style="1" bestFit="1" customWidth="1"/>
    <col min="15876" max="15876" width="11.42578125" style="1"/>
    <col min="15877" max="15877" width="16" style="1" bestFit="1" customWidth="1"/>
    <col min="15878" max="15878" width="21.7109375" style="1" bestFit="1" customWidth="1"/>
    <col min="15879" max="15879" width="23.42578125" style="1" bestFit="1" customWidth="1"/>
    <col min="15880" max="15880" width="11.42578125" style="1"/>
    <col min="15881" max="15881" width="21.5703125" style="1" customWidth="1"/>
    <col min="15882" max="15883" width="11.42578125" style="1"/>
    <col min="15884" max="15884" width="12.85546875" style="1" bestFit="1" customWidth="1"/>
    <col min="15885" max="15885" width="11.42578125" style="1"/>
    <col min="15886" max="15886" width="27.7109375" style="1" bestFit="1" customWidth="1"/>
    <col min="15887" max="15887" width="12.28515625" style="1" bestFit="1" customWidth="1"/>
    <col min="15888" max="16130" width="11.42578125" style="1"/>
    <col min="16131" max="16131" width="22.28515625" style="1" bestFit="1" customWidth="1"/>
    <col min="16132" max="16132" width="11.42578125" style="1"/>
    <col min="16133" max="16133" width="16" style="1" bestFit="1" customWidth="1"/>
    <col min="16134" max="16134" width="21.7109375" style="1" bestFit="1" customWidth="1"/>
    <col min="16135" max="16135" width="23.42578125" style="1" bestFit="1" customWidth="1"/>
    <col min="16136" max="16136" width="11.42578125" style="1"/>
    <col min="16137" max="16137" width="21.5703125" style="1" customWidth="1"/>
    <col min="16138" max="16139" width="11.42578125" style="1"/>
    <col min="16140" max="16140" width="12.85546875" style="1" bestFit="1" customWidth="1"/>
    <col min="16141" max="16141" width="11.42578125" style="1"/>
    <col min="16142" max="16142" width="27.7109375" style="1" bestFit="1" customWidth="1"/>
    <col min="16143" max="16143" width="12.28515625" style="1" bestFit="1" customWidth="1"/>
    <col min="16144" max="16384" width="11.42578125" style="1"/>
  </cols>
  <sheetData>
    <row r="1" spans="2:33" s="7" customFormat="1" ht="50.1" customHeight="1" thickBot="1" x14ac:dyDescent="0.25">
      <c r="B1" s="779" t="s">
        <v>252</v>
      </c>
      <c r="C1" s="780"/>
      <c r="D1" s="780"/>
      <c r="E1" s="780"/>
      <c r="F1" s="780"/>
      <c r="G1" s="780"/>
      <c r="H1" s="780"/>
      <c r="I1" s="780"/>
      <c r="J1" s="780"/>
      <c r="K1" s="780"/>
      <c r="L1" s="780"/>
      <c r="M1" s="780"/>
      <c r="N1" s="781"/>
      <c r="O1" s="77"/>
      <c r="P1" s="64"/>
      <c r="Q1" s="65"/>
      <c r="R1" s="65"/>
      <c r="S1" s="64"/>
      <c r="T1" s="68"/>
      <c r="U1" s="67"/>
      <c r="V1" s="67"/>
      <c r="W1" s="64"/>
      <c r="X1" s="64"/>
      <c r="Y1" s="64"/>
      <c r="Z1" s="64"/>
      <c r="AA1" s="64"/>
      <c r="AB1" s="64"/>
      <c r="AC1" s="64"/>
      <c r="AD1" s="64"/>
      <c r="AE1" s="64"/>
      <c r="AF1" s="33"/>
      <c r="AG1" s="33"/>
    </row>
    <row r="2" spans="2:33" ht="24.95" customHeight="1" thickBot="1" x14ac:dyDescent="0.25">
      <c r="B2" s="934" t="s">
        <v>16</v>
      </c>
      <c r="C2" s="934"/>
      <c r="D2" s="935">
        <v>38513</v>
      </c>
      <c r="E2" s="936"/>
      <c r="G2" s="934" t="s">
        <v>35</v>
      </c>
      <c r="H2" s="934"/>
      <c r="I2" s="937">
        <f ca="1">NOW()</f>
        <v>45720.672637847223</v>
      </c>
      <c r="J2" s="937"/>
      <c r="K2" s="8"/>
      <c r="M2" s="866" t="s">
        <v>19</v>
      </c>
      <c r="N2" s="866"/>
    </row>
    <row r="3" spans="2:33" ht="24.95" customHeight="1" thickBot="1" x14ac:dyDescent="0.25">
      <c r="B3" s="867" t="s">
        <v>17</v>
      </c>
      <c r="C3" s="867"/>
      <c r="D3" s="841">
        <v>44981</v>
      </c>
      <c r="E3" s="842"/>
      <c r="F3" s="843"/>
      <c r="H3" s="686" t="s">
        <v>244</v>
      </c>
      <c r="I3" s="844">
        <v>0.47916666666666669</v>
      </c>
      <c r="J3" s="845"/>
      <c r="M3" s="846"/>
      <c r="N3" s="847"/>
    </row>
    <row r="4" spans="2:33" ht="24.95" customHeight="1" thickBot="1" x14ac:dyDescent="0.25">
      <c r="B4" s="23"/>
      <c r="C4" s="23"/>
      <c r="M4" s="848">
        <f>IF((Capacité_carburant_Max_09-Carburant_utilisable_09)&gt;0,Capacité_carburant_Max_09-Carburant_utilisable_09,"Tout le carburant est utilisable.")</f>
        <v>12</v>
      </c>
      <c r="N4" s="848"/>
    </row>
    <row r="5" spans="2:33" ht="24.95" customHeight="1" thickBot="1" x14ac:dyDescent="0.25">
      <c r="C5" s="829" t="s">
        <v>50</v>
      </c>
      <c r="D5" s="830"/>
      <c r="E5" s="830"/>
      <c r="F5" s="831"/>
      <c r="H5" s="804" t="str">
        <f>UPPER("02-Données du vol")</f>
        <v>02-DONNÉES DU VOL</v>
      </c>
      <c r="I5" s="943"/>
      <c r="J5" s="673"/>
      <c r="K5" s="674"/>
      <c r="M5" s="829" t="s">
        <v>42</v>
      </c>
      <c r="N5" s="831"/>
      <c r="O5" s="81"/>
      <c r="P5" s="67" t="s">
        <v>14</v>
      </c>
    </row>
    <row r="6" spans="2:33" s="2" customFormat="1" ht="39" customHeight="1" thickTop="1" thickBot="1" x14ac:dyDescent="0.25">
      <c r="B6" s="4"/>
      <c r="C6" s="107" t="s">
        <v>0</v>
      </c>
      <c r="D6" s="102" t="s">
        <v>11</v>
      </c>
      <c r="E6" s="102" t="s">
        <v>10</v>
      </c>
      <c r="F6" s="108" t="s">
        <v>9</v>
      </c>
      <c r="G6" s="1"/>
      <c r="H6" s="951" t="s">
        <v>147</v>
      </c>
      <c r="I6" s="952"/>
      <c r="J6" s="813" t="str">
        <f>IF(Durée_Totale_Vol_09&gt;Q12,"Erreur !",TEXT(Q13,"#0")&amp;" h et "&amp;TEXT(Q14,"#0")&amp;" mn")</f>
        <v>3 h et 49 mn</v>
      </c>
      <c r="K6" s="814"/>
      <c r="L6" s="1"/>
      <c r="M6" s="418" t="s">
        <v>118</v>
      </c>
      <c r="N6" s="416">
        <v>0.72</v>
      </c>
      <c r="O6" s="216"/>
      <c r="P6" s="71" t="s">
        <v>15</v>
      </c>
      <c r="Q6" s="71"/>
      <c r="R6" s="71"/>
      <c r="U6" s="71"/>
      <c r="V6" s="71"/>
      <c r="W6" s="71"/>
      <c r="X6" s="71"/>
      <c r="Y6" s="71"/>
      <c r="Z6" s="71"/>
      <c r="AA6" s="71"/>
      <c r="AB6" s="71"/>
      <c r="AC6" s="71"/>
      <c r="AD6" s="71"/>
      <c r="AE6" s="71"/>
      <c r="AF6" s="36"/>
      <c r="AG6" s="36"/>
    </row>
    <row r="7" spans="2:33" ht="24.95" customHeight="1" thickBot="1" x14ac:dyDescent="0.25">
      <c r="B7" s="461" t="s">
        <v>1</v>
      </c>
      <c r="C7" s="464"/>
      <c r="D7" s="484">
        <v>1068.4821899999999</v>
      </c>
      <c r="E7" s="459">
        <v>139.1</v>
      </c>
      <c r="F7" s="460">
        <f t="shared" ref="F7:F13" si="0">E7*D7</f>
        <v>148625.87262899999</v>
      </c>
      <c r="H7" s="787" t="str">
        <f>IF(Nbre_Aérodromes_09&lt;=0,"* Minimum 1 aérodrome de destination","")</f>
        <v/>
      </c>
      <c r="I7" s="787"/>
      <c r="J7" s="787"/>
      <c r="K7" s="787"/>
      <c r="M7" s="417" t="s">
        <v>61</v>
      </c>
      <c r="N7" s="534">
        <f>SUM(N8:N9)</f>
        <v>200</v>
      </c>
      <c r="S7" s="849" t="str">
        <f>UPPER("Moment à l'atterrissage")</f>
        <v>MOMENT À L'ATTERRISSAGE</v>
      </c>
      <c r="T7" s="850"/>
      <c r="U7" s="131" t="s">
        <v>106</v>
      </c>
      <c r="V7" s="131" t="s">
        <v>105</v>
      </c>
      <c r="W7" s="132" t="s">
        <v>107</v>
      </c>
    </row>
    <row r="8" spans="2:33" ht="24.95" customHeight="1" x14ac:dyDescent="0.2">
      <c r="B8" s="462" t="s">
        <v>4</v>
      </c>
      <c r="C8" s="357"/>
      <c r="D8" s="486">
        <v>80</v>
      </c>
      <c r="E8" s="483">
        <v>143.5</v>
      </c>
      <c r="F8" s="333">
        <f t="shared" si="0"/>
        <v>11480</v>
      </c>
      <c r="H8" s="1005" t="s">
        <v>21</v>
      </c>
      <c r="I8" s="1006"/>
      <c r="J8" s="1007"/>
      <c r="K8" s="425">
        <v>30</v>
      </c>
      <c r="M8" s="489" t="s">
        <v>62</v>
      </c>
      <c r="N8" s="223">
        <v>100</v>
      </c>
      <c r="S8" s="340" t="s">
        <v>1</v>
      </c>
      <c r="T8" s="476"/>
      <c r="U8" s="395">
        <f>D7</f>
        <v>1068.4821899999999</v>
      </c>
      <c r="V8" s="396">
        <f>E7</f>
        <v>139.1</v>
      </c>
      <c r="W8" s="397">
        <f>U8*V8</f>
        <v>148625.87262899999</v>
      </c>
    </row>
    <row r="9" spans="2:33" ht="24.95" customHeight="1" thickBot="1" x14ac:dyDescent="0.25">
      <c r="B9" s="462" t="s">
        <v>5</v>
      </c>
      <c r="C9" s="357"/>
      <c r="D9" s="487">
        <v>74</v>
      </c>
      <c r="E9" s="483">
        <v>143.5</v>
      </c>
      <c r="F9" s="333">
        <f t="shared" si="0"/>
        <v>10619</v>
      </c>
      <c r="H9" s="980" t="s">
        <v>22</v>
      </c>
      <c r="I9" s="981"/>
      <c r="J9" s="982"/>
      <c r="K9" s="426">
        <v>1</v>
      </c>
      <c r="M9" s="489" t="s">
        <v>63</v>
      </c>
      <c r="N9" s="224">
        <v>100</v>
      </c>
      <c r="P9" s="70" t="s">
        <v>94</v>
      </c>
      <c r="S9" s="133" t="s">
        <v>159</v>
      </c>
      <c r="T9" s="381"/>
      <c r="U9" s="135">
        <f>D8+D9</f>
        <v>154</v>
      </c>
      <c r="V9" s="136">
        <f>E8</f>
        <v>143.5</v>
      </c>
      <c r="W9" s="137">
        <f>U9*V9</f>
        <v>22099</v>
      </c>
    </row>
    <row r="10" spans="2:33" ht="24.95" customHeight="1" thickBot="1" x14ac:dyDescent="0.25">
      <c r="B10" s="462" t="s">
        <v>6</v>
      </c>
      <c r="C10" s="357"/>
      <c r="D10" s="487">
        <v>80</v>
      </c>
      <c r="E10" s="483">
        <v>180</v>
      </c>
      <c r="F10" s="333">
        <f t="shared" si="0"/>
        <v>14400</v>
      </c>
      <c r="H10" s="997" t="str">
        <f>UPPER("Génération du graphique")</f>
        <v>GÉNÉRATION DU GRAPHIQUE</v>
      </c>
      <c r="I10" s="998"/>
      <c r="J10" s="998"/>
      <c r="K10" s="999"/>
      <c r="M10" s="417" t="s">
        <v>51</v>
      </c>
      <c r="N10" s="535">
        <f>N7-12</f>
        <v>188</v>
      </c>
      <c r="P10" s="67" t="s">
        <v>24</v>
      </c>
      <c r="Q10" s="73">
        <f>Consommation_minute_09</f>
        <v>0.82016666666666671</v>
      </c>
      <c r="R10" s="73"/>
      <c r="S10" s="133" t="s">
        <v>160</v>
      </c>
      <c r="T10" s="381"/>
      <c r="U10" s="135">
        <f>D10+D11</f>
        <v>80</v>
      </c>
      <c r="V10" s="136">
        <f>E10</f>
        <v>180</v>
      </c>
      <c r="W10" s="137">
        <f>U10*V10</f>
        <v>14400</v>
      </c>
    </row>
    <row r="11" spans="2:33" ht="24.95" customHeight="1" thickBot="1" x14ac:dyDescent="0.25">
      <c r="B11" s="462" t="s">
        <v>7</v>
      </c>
      <c r="C11" s="357"/>
      <c r="D11" s="487"/>
      <c r="E11" s="483">
        <v>180</v>
      </c>
      <c r="F11" s="333">
        <f t="shared" si="0"/>
        <v>0</v>
      </c>
      <c r="H11" s="386" t="s">
        <v>64</v>
      </c>
      <c r="I11" s="387" t="s">
        <v>2</v>
      </c>
      <c r="J11" s="387" t="s">
        <v>119</v>
      </c>
      <c r="K11" s="472" t="s">
        <v>138</v>
      </c>
      <c r="M11" s="417" t="s">
        <v>29</v>
      </c>
      <c r="N11" s="647">
        <v>49.21</v>
      </c>
      <c r="P11" s="67" t="s">
        <v>25</v>
      </c>
      <c r="Q11" s="68">
        <f>IF(Carburant_Bloc_09&gt;Carburant_utilisable_09,Carburant_utilisable_09-(Carburant_Bloc_09-Carburant_utilisable_09),Carburant_utilisable_09)</f>
        <v>188</v>
      </c>
      <c r="S11" s="133" t="s">
        <v>80</v>
      </c>
      <c r="T11" s="381"/>
      <c r="U11" s="135">
        <f>Bagages_09</f>
        <v>10</v>
      </c>
      <c r="V11" s="136">
        <f>E12</f>
        <v>208</v>
      </c>
      <c r="W11" s="137">
        <f>U11*V11</f>
        <v>2080</v>
      </c>
    </row>
    <row r="12" spans="2:33" ht="24.95" customHeight="1" thickBot="1" x14ac:dyDescent="0.25">
      <c r="B12" s="462" t="s">
        <v>121</v>
      </c>
      <c r="C12" s="357"/>
      <c r="D12" s="488">
        <v>10</v>
      </c>
      <c r="E12" s="483">
        <v>208</v>
      </c>
      <c r="F12" s="333">
        <f t="shared" si="0"/>
        <v>2080</v>
      </c>
      <c r="H12" s="230" t="s">
        <v>170</v>
      </c>
      <c r="I12" s="327">
        <v>138</v>
      </c>
      <c r="J12" s="95">
        <v>998</v>
      </c>
      <c r="K12" s="227">
        <f t="shared" ref="K12:K19" si="1">I12/J12</f>
        <v>0.13827655310621242</v>
      </c>
      <c r="M12" s="450" t="s">
        <v>8</v>
      </c>
      <c r="N12" s="451">
        <f>N11/60</f>
        <v>0.82016666666666671</v>
      </c>
      <c r="P12" s="67" t="s">
        <v>26</v>
      </c>
      <c r="Q12" s="75">
        <f>Q11/Q10</f>
        <v>229.22170290591342</v>
      </c>
      <c r="R12" s="75"/>
      <c r="S12" s="179" t="str">
        <f>B13</f>
        <v>Carburant total :</v>
      </c>
      <c r="T12" s="623">
        <f>IF(Carburant_Bloc_09&gt;(Carburant_Principal_09+Carburant_Secondaire_09),0,(Carburant_Principal_09+Carburant_Secondaire_09)-Carburant_Bloc_09)</f>
        <v>134.38666666666666</v>
      </c>
      <c r="U12" s="180">
        <f>T12*Densité_Carburant_09</f>
        <v>96.758399999999995</v>
      </c>
      <c r="V12" s="181">
        <f>E13</f>
        <v>154.9</v>
      </c>
      <c r="W12" s="182">
        <f>U12*V12</f>
        <v>14987.87616</v>
      </c>
    </row>
    <row r="13" spans="2:33" ht="24.95" customHeight="1" thickBot="1" x14ac:dyDescent="0.25">
      <c r="B13" s="463" t="s">
        <v>60</v>
      </c>
      <c r="C13" s="336">
        <f>N8+N9</f>
        <v>200</v>
      </c>
      <c r="D13" s="485">
        <f>Densité_Carburant_09*C13</f>
        <v>144</v>
      </c>
      <c r="E13" s="337">
        <v>154.9</v>
      </c>
      <c r="F13" s="339">
        <f t="shared" si="0"/>
        <v>22305.600000000002</v>
      </c>
      <c r="H13" s="466" t="s">
        <v>81</v>
      </c>
      <c r="I13" s="328">
        <v>139.1</v>
      </c>
      <c r="J13" s="96">
        <v>1225</v>
      </c>
      <c r="K13" s="229">
        <f t="shared" si="1"/>
        <v>0.11355102040816326</v>
      </c>
      <c r="M13" s="1003" t="str">
        <f>IF(Capacité_carburant_Max_09&gt;318,"ERREUR capacité carburant !","Capacité carburant Ok !")</f>
        <v>Capacité carburant Ok !</v>
      </c>
      <c r="N13" s="1004"/>
      <c r="P13" s="67" t="s">
        <v>27</v>
      </c>
      <c r="Q13" s="68">
        <f>ROUNDDOWN(Q12/60,0)</f>
        <v>3</v>
      </c>
      <c r="S13" s="313" t="s">
        <v>161</v>
      </c>
      <c r="T13" s="613">
        <f>SUM(T12)</f>
        <v>134.38666666666666</v>
      </c>
      <c r="U13" s="314">
        <f>SUM(U8:U12)</f>
        <v>1409.2405899999999</v>
      </c>
      <c r="V13" s="315">
        <f>Moment_Atterrissage_09/Masse_Atterrissage_09</f>
        <v>143.47638737044892</v>
      </c>
      <c r="W13" s="316">
        <f>SUM(W8:W12)</f>
        <v>202192.74878899998</v>
      </c>
    </row>
    <row r="14" spans="2:33" ht="24.95" customHeight="1" thickBot="1" x14ac:dyDescent="0.25">
      <c r="B14" s="257" t="s">
        <v>12</v>
      </c>
      <c r="C14" s="455">
        <f>SUM(C13:C13)</f>
        <v>200</v>
      </c>
      <c r="D14" s="456">
        <f>SUM(D7:D13)</f>
        <v>1456.4821899999999</v>
      </c>
      <c r="E14" s="457">
        <f>Moment_Décollage_09/Masse_Décollage_09</f>
        <v>143.84691695337517</v>
      </c>
      <c r="F14" s="458">
        <f>SUM(F7:F13)</f>
        <v>209510.472629</v>
      </c>
      <c r="H14" s="417" t="s">
        <v>82</v>
      </c>
      <c r="I14" s="467">
        <v>141.4</v>
      </c>
      <c r="J14" s="468">
        <v>1456</v>
      </c>
      <c r="K14" s="469">
        <f t="shared" si="1"/>
        <v>9.7115384615384617E-2</v>
      </c>
      <c r="M14" s="795" t="str">
        <f>UPPER("Carburant Exploit. générale")</f>
        <v>CARBURANT EXPLOIT. GÉNÉRALE</v>
      </c>
      <c r="N14" s="796"/>
      <c r="O14" s="59"/>
      <c r="P14" s="34" t="s">
        <v>28</v>
      </c>
      <c r="Q14" s="575">
        <f>Q12-(Q13*60)</f>
        <v>49.221702905913418</v>
      </c>
      <c r="R14" s="575"/>
      <c r="S14" s="851" t="str">
        <f>IF(T12=Réserve_Finale_09,"Le carburant restant dans le réservoir principal correspond à la réserve finale","")</f>
        <v/>
      </c>
      <c r="T14" s="851"/>
      <c r="U14" s="851"/>
      <c r="V14" s="851"/>
      <c r="W14" s="851"/>
      <c r="X14" s="10"/>
      <c r="Y14" s="10"/>
      <c r="Z14" s="10"/>
    </row>
    <row r="15" spans="2:33" ht="24.95" customHeight="1" thickBot="1" x14ac:dyDescent="0.25">
      <c r="B15" s="1000" t="str">
        <f>IF(C14&gt;318,"* ATTENTION ! Le total carburant est supérieur à la capacité totale !","")</f>
        <v/>
      </c>
      <c r="C15" s="1000"/>
      <c r="D15" s="1000"/>
      <c r="E15" s="1000"/>
      <c r="F15" s="1000"/>
      <c r="H15" s="466" t="s">
        <v>83</v>
      </c>
      <c r="I15" s="328">
        <v>143.80000000000001</v>
      </c>
      <c r="J15" s="96">
        <v>1542</v>
      </c>
      <c r="K15" s="229">
        <f t="shared" si="1"/>
        <v>9.3255512321660183E-2</v>
      </c>
      <c r="M15" s="944" t="str">
        <f>IF(N24&gt;Carburant_utilisable_09,"DANGER - Total carburant insuffisant !","OK - Quantité de carburant suffisante")</f>
        <v>OK - Quantité de carburant suffisante</v>
      </c>
      <c r="N15" s="945"/>
      <c r="O15" s="696"/>
      <c r="P15" s="697"/>
      <c r="Q15" s="698"/>
      <c r="R15" s="698"/>
      <c r="S15" s="581"/>
      <c r="T15" s="580" t="s">
        <v>236</v>
      </c>
      <c r="U15" s="580" t="s">
        <v>33</v>
      </c>
      <c r="V15" s="580" t="s">
        <v>234</v>
      </c>
      <c r="W15" s="580" t="s">
        <v>233</v>
      </c>
      <c r="X15" s="580" t="s">
        <v>235</v>
      </c>
      <c r="Y15" s="580" t="s">
        <v>237</v>
      </c>
      <c r="Z15" s="580" t="s">
        <v>240</v>
      </c>
      <c r="AA15" s="14"/>
      <c r="AB15" s="14"/>
      <c r="AC15" s="14"/>
    </row>
    <row r="16" spans="2:33" ht="24.95" customHeight="1" x14ac:dyDescent="0.2">
      <c r="B16" s="15"/>
      <c r="D16" s="953" t="str">
        <f>UPPER("Masse Totale :")</f>
        <v>MASSE TOTALE :</v>
      </c>
      <c r="E16" s="954"/>
      <c r="F16" s="565">
        <f>IF(Masse_Décollage_09&gt;Masse_Max_Décollage_09,"DANGER",Masse_Décollage_09)</f>
        <v>1456.4821899999999</v>
      </c>
      <c r="H16" s="417" t="s">
        <v>84</v>
      </c>
      <c r="I16" s="328">
        <v>148.1</v>
      </c>
      <c r="J16" s="96">
        <v>1542</v>
      </c>
      <c r="K16" s="229">
        <f t="shared" si="1"/>
        <v>9.6044098573281445E-2</v>
      </c>
      <c r="M16" s="473" t="s">
        <v>102</v>
      </c>
      <c r="N16" s="648">
        <f>Durée_Totale_Vol_09*Consommation_minute_09</f>
        <v>24.605</v>
      </c>
      <c r="O16" s="62"/>
      <c r="P16" s="34"/>
      <c r="Q16" s="35"/>
      <c r="R16" s="35"/>
      <c r="S16" s="581" t="s">
        <v>243</v>
      </c>
      <c r="T16" s="582">
        <v>159</v>
      </c>
      <c r="U16" s="579">
        <f>Carburant_Secondaire_09</f>
        <v>100</v>
      </c>
      <c r="V16" s="583">
        <f>1-W16</f>
        <v>0.37106918238993714</v>
      </c>
      <c r="W16" s="583">
        <f>U16/T16</f>
        <v>0.62893081761006286</v>
      </c>
      <c r="X16" s="584">
        <v>0.2</v>
      </c>
      <c r="Y16" s="584">
        <v>0.2</v>
      </c>
      <c r="Z16" s="584">
        <v>0.2</v>
      </c>
      <c r="AA16" s="14"/>
      <c r="AB16" s="14"/>
      <c r="AC16" s="14"/>
    </row>
    <row r="17" spans="2:29" ht="24.95" customHeight="1" thickBot="1" x14ac:dyDescent="0.25">
      <c r="B17" s="3"/>
      <c r="D17" s="958" t="str">
        <f>UPPER("Bras de levier :")</f>
        <v>BRAS DE LEVIER :</v>
      </c>
      <c r="E17" s="959"/>
      <c r="F17" s="465">
        <f>IF(Moment_Décollage_09/Masse_Décollage_09&gt;221708,"DANGER",Moment_Décollage_09/Masse_Décollage_09)</f>
        <v>143.84691695337517</v>
      </c>
      <c r="H17" s="470" t="s">
        <v>85</v>
      </c>
      <c r="I17" s="326">
        <v>148.1</v>
      </c>
      <c r="J17" s="98">
        <v>998</v>
      </c>
      <c r="K17" s="471">
        <f t="shared" si="1"/>
        <v>0.14839679358717434</v>
      </c>
      <c r="M17" s="252" t="s">
        <v>103</v>
      </c>
      <c r="N17" s="606">
        <f>Nbre_Aérodromes_09*(Consommation_minute_09*10)</f>
        <v>8.201666666666668</v>
      </c>
      <c r="O17" s="62"/>
      <c r="P17" s="576" t="s">
        <v>141</v>
      </c>
      <c r="Q17" s="35"/>
      <c r="R17" s="35"/>
      <c r="S17" s="581"/>
      <c r="T17" s="580" t="s">
        <v>236</v>
      </c>
      <c r="U17" s="580" t="s">
        <v>33</v>
      </c>
      <c r="V17" s="580" t="s">
        <v>234</v>
      </c>
      <c r="W17" s="580" t="s">
        <v>233</v>
      </c>
      <c r="X17" s="580" t="s">
        <v>235</v>
      </c>
      <c r="Y17" s="580" t="s">
        <v>237</v>
      </c>
      <c r="Z17" s="580" t="s">
        <v>240</v>
      </c>
      <c r="AA17" s="14"/>
      <c r="AB17" s="14"/>
      <c r="AC17" s="14"/>
    </row>
    <row r="18" spans="2:29" ht="24.95" customHeight="1" thickBot="1" x14ac:dyDescent="0.25">
      <c r="B18" s="792" t="str">
        <f>IF(Masse_Décollage_09&gt;Masse_Max_Décollage_09,"* ATTENTION ! La masse max au décollage est dépassée !","")</f>
        <v/>
      </c>
      <c r="C18" s="792"/>
      <c r="D18" s="792"/>
      <c r="E18" s="792"/>
      <c r="F18" s="792"/>
      <c r="H18" s="343" t="s">
        <v>108</v>
      </c>
      <c r="I18" s="325">
        <f>Moment_Décollage_09</f>
        <v>209510.472629</v>
      </c>
      <c r="J18" s="97">
        <f>Masse_Décollage_09</f>
        <v>1456.4821899999999</v>
      </c>
      <c r="K18" s="344">
        <f t="shared" si="1"/>
        <v>143.84691695337517</v>
      </c>
      <c r="M18" s="259" t="s">
        <v>143</v>
      </c>
      <c r="N18" s="607">
        <f>SUM(N16:N17)</f>
        <v>32.806666666666672</v>
      </c>
      <c r="O18" s="62"/>
      <c r="P18" s="34" t="s">
        <v>122</v>
      </c>
      <c r="Q18" s="699">
        <f>Carburant_Bloc_09/Durée_Totale_Vol_09</f>
        <v>2.1871111111111117</v>
      </c>
      <c r="R18" s="699"/>
      <c r="S18" s="581" t="s">
        <v>242</v>
      </c>
      <c r="T18" s="582">
        <v>159</v>
      </c>
      <c r="U18" s="579">
        <f>Carburant_Secondaire_09</f>
        <v>100</v>
      </c>
      <c r="V18" s="583">
        <f>1-W18</f>
        <v>0.37106918238993714</v>
      </c>
      <c r="W18" s="583">
        <f>U18/T18</f>
        <v>0.62893081761006286</v>
      </c>
      <c r="X18" s="584">
        <v>0.2</v>
      </c>
      <c r="Y18" s="584">
        <v>0.2</v>
      </c>
      <c r="Z18" s="584">
        <v>0.2</v>
      </c>
      <c r="AA18" s="14"/>
      <c r="AB18" s="14"/>
      <c r="AC18" s="14"/>
    </row>
    <row r="19" spans="2:29" ht="24.95" customHeight="1" thickBot="1" x14ac:dyDescent="0.25">
      <c r="B19" s="967" t="s">
        <v>30</v>
      </c>
      <c r="C19" s="968"/>
      <c r="D19" s="968"/>
      <c r="E19" s="968"/>
      <c r="F19" s="969"/>
      <c r="H19" s="231" t="s">
        <v>109</v>
      </c>
      <c r="I19" s="345">
        <f>Moment_Atterrissage_09</f>
        <v>202192.74878899998</v>
      </c>
      <c r="J19" s="173">
        <f>Masse_Atterrissage_09</f>
        <v>1409.2405899999999</v>
      </c>
      <c r="K19" s="174">
        <f t="shared" si="1"/>
        <v>143.47638737044892</v>
      </c>
      <c r="M19" s="270" t="s">
        <v>43</v>
      </c>
      <c r="N19" s="271" t="s">
        <v>14</v>
      </c>
      <c r="O19" s="62"/>
      <c r="P19" s="34" t="s">
        <v>25</v>
      </c>
      <c r="Q19" s="35">
        <f>Q11</f>
        <v>188</v>
      </c>
      <c r="R19" s="35"/>
      <c r="S19" s="581"/>
      <c r="T19" s="579">
        <f>Capacité_carburant_Max_09-Carburant_utilisable_09</f>
        <v>12</v>
      </c>
      <c r="U19" s="599"/>
      <c r="V19" s="597"/>
      <c r="W19" s="49"/>
      <c r="X19" s="49"/>
      <c r="Y19" s="49"/>
      <c r="Z19" s="49"/>
      <c r="AA19" s="14"/>
      <c r="AB19" s="14"/>
      <c r="AC19" s="14"/>
    </row>
    <row r="20" spans="2:29" ht="24.95" customHeight="1" thickBot="1" x14ac:dyDescent="0.25">
      <c r="B20" s="989" t="s">
        <v>87</v>
      </c>
      <c r="C20" s="990"/>
      <c r="D20" s="434" t="s">
        <v>33</v>
      </c>
      <c r="E20" s="991" t="s">
        <v>34</v>
      </c>
      <c r="F20" s="992"/>
      <c r="H20" s="792" t="str">
        <f>IF(Moment_Décollage_09&gt;222820,"* DANGER : Avion hors centrage arrière, INTERDICTION de décoller !","")</f>
        <v/>
      </c>
      <c r="I20" s="792"/>
      <c r="J20" s="792"/>
      <c r="K20" s="792"/>
      <c r="M20" s="252" t="s">
        <v>144</v>
      </c>
      <c r="N20" s="608">
        <f>IF(Durée_Totale_Vol_09&gt;0,IF(N19="Jour",Consommation_minute_09*30,Consommation_minute_09*45),0)</f>
        <v>24.605</v>
      </c>
      <c r="O20" s="62"/>
      <c r="P20" s="34" t="s">
        <v>26</v>
      </c>
      <c r="Q20" s="575">
        <f>Q19/Q18</f>
        <v>85.958138589717521</v>
      </c>
      <c r="R20" s="575"/>
      <c r="S20" s="704"/>
      <c r="T20" s="13"/>
      <c r="U20" s="10"/>
      <c r="V20" s="10"/>
      <c r="W20" s="10"/>
      <c r="X20" s="10"/>
      <c r="Y20" s="10"/>
      <c r="Z20" s="10"/>
      <c r="AA20" s="14"/>
      <c r="AB20" s="14"/>
      <c r="AC20" s="14"/>
    </row>
    <row r="21" spans="2:29" ht="24.95" customHeight="1" x14ac:dyDescent="0.2">
      <c r="B21" s="376" t="s">
        <v>31</v>
      </c>
      <c r="C21" s="435">
        <v>1542</v>
      </c>
      <c r="D21" s="435">
        <f>Masse_Décollage_09</f>
        <v>1456.4821899999999</v>
      </c>
      <c r="E21" s="993" t="str">
        <f>IF(D21&lt;=Masse_Max_Décollage_09,"Ok !","DANGER !")</f>
        <v>Ok !</v>
      </c>
      <c r="F21" s="994"/>
      <c r="M21" s="1001" t="str">
        <f>IF(N19="Jour","** Réserve finale de carburant de 30 mn","** Réserve finale de carburant de 45 mn")</f>
        <v>** Réserve finale de carburant de 30 mn</v>
      </c>
      <c r="N21" s="1002"/>
      <c r="O21" s="62"/>
      <c r="P21" s="34" t="s">
        <v>27</v>
      </c>
      <c r="Q21" s="575">
        <f>ROUNDDOWN(Q20/60,0)</f>
        <v>1</v>
      </c>
      <c r="R21" s="575"/>
      <c r="S21" s="10"/>
      <c r="T21" s="13"/>
      <c r="U21" s="10"/>
      <c r="V21" s="10"/>
      <c r="W21" s="10"/>
      <c r="X21" s="34"/>
      <c r="Y21" s="34"/>
      <c r="Z21" s="14"/>
      <c r="AA21" s="14"/>
      <c r="AB21" s="14"/>
      <c r="AC21" s="14"/>
    </row>
    <row r="22" spans="2:29" ht="24.95" customHeight="1" thickBot="1" x14ac:dyDescent="0.25">
      <c r="B22" s="262" t="s">
        <v>32</v>
      </c>
      <c r="C22" s="266">
        <v>1542</v>
      </c>
      <c r="D22" s="266">
        <f>Masse_Décollage_09-(N24*Densité_Carburant_09)</f>
        <v>1409.2405899999999</v>
      </c>
      <c r="E22" s="817" t="str">
        <f>IF(D22&lt;=C22,"Ok !","DANGER !")</f>
        <v>Ok !</v>
      </c>
      <c r="F22" s="818"/>
      <c r="M22" s="252" t="s">
        <v>145</v>
      </c>
      <c r="N22" s="609">
        <f>(Consommation_horaire_09/60)*10</f>
        <v>8.201666666666668</v>
      </c>
      <c r="O22" s="59"/>
      <c r="P22" s="34" t="s">
        <v>28</v>
      </c>
      <c r="Q22" s="575">
        <f>Q20-(Q21*60)</f>
        <v>25.958138589717521</v>
      </c>
      <c r="R22" s="575"/>
      <c r="S22" s="703"/>
      <c r="T22" s="35"/>
      <c r="U22" s="34"/>
      <c r="V22" s="34"/>
      <c r="W22" s="34"/>
      <c r="X22" s="34"/>
      <c r="Y22" s="34"/>
      <c r="Z22" s="14"/>
      <c r="AA22" s="14"/>
      <c r="AB22" s="14"/>
      <c r="AC22" s="14"/>
    </row>
    <row r="23" spans="2:29" ht="24.95" customHeight="1" thickBot="1" x14ac:dyDescent="0.35">
      <c r="B23" s="10" t="s">
        <v>74</v>
      </c>
      <c r="C23" s="13"/>
      <c r="D23" s="29">
        <f>C21-D21</f>
        <v>85.517810000000054</v>
      </c>
      <c r="M23" s="474" t="s">
        <v>254</v>
      </c>
      <c r="N23" s="453">
        <f>((Délestage_09+Carburant_Roulage_09)-Carburant_Destination_09)/Carburant_Destination_09</f>
        <v>0.66666666666666696</v>
      </c>
      <c r="O23" s="62"/>
      <c r="P23" s="700"/>
      <c r="Q23" s="700"/>
      <c r="R23" s="700"/>
      <c r="S23" s="34"/>
      <c r="T23" s="35"/>
      <c r="U23" s="34"/>
      <c r="V23" s="34"/>
      <c r="W23" s="34"/>
      <c r="X23" s="34"/>
      <c r="Y23" s="34"/>
      <c r="Z23" s="14"/>
      <c r="AA23" s="14"/>
      <c r="AB23" s="14"/>
      <c r="AC23" s="14"/>
    </row>
    <row r="24" spans="2:29" ht="24.95" customHeight="1" thickBot="1" x14ac:dyDescent="0.25">
      <c r="M24" s="475" t="str">
        <f>UPPER("Carburant au bloc :")</f>
        <v>CARBURANT AU BLOC :</v>
      </c>
      <c r="N24" s="626">
        <f>Délestage_09+Réserve_Finale_09+Carburant_Roulage_09</f>
        <v>65.613333333333344</v>
      </c>
      <c r="O24" s="701"/>
      <c r="P24" s="576" t="s">
        <v>93</v>
      </c>
      <c r="Q24" s="35"/>
      <c r="R24" s="35"/>
      <c r="S24" s="34"/>
      <c r="T24" s="35"/>
      <c r="U24" s="34"/>
      <c r="V24" s="34"/>
      <c r="W24" s="34"/>
      <c r="X24" s="34"/>
      <c r="Y24" s="34"/>
      <c r="Z24" s="14"/>
      <c r="AA24" s="14"/>
      <c r="AB24" s="14"/>
      <c r="AC24" s="14"/>
    </row>
    <row r="25" spans="2:29" ht="24.95" customHeight="1" x14ac:dyDescent="0.2">
      <c r="G25" s="38" t="str">
        <f>IF(Moment_Décollage_09&gt;221708,"* DANGER : Avion hors centrage arrière, INTERDICTION de décoller !","")</f>
        <v/>
      </c>
      <c r="L25" s="38"/>
      <c r="M25" s="329" t="s">
        <v>139</v>
      </c>
      <c r="N25" s="624">
        <f>((Carburant_Bloc_09)/Durée_Totale_Vol_09)*60</f>
        <v>131.22666666666669</v>
      </c>
      <c r="O25" s="34"/>
      <c r="P25" s="574" t="s">
        <v>89</v>
      </c>
      <c r="Q25" s="577">
        <f>Masse_Décollage_09</f>
        <v>1456.4821899999999</v>
      </c>
      <c r="R25" s="577"/>
      <c r="S25" s="34"/>
      <c r="T25" s="35"/>
      <c r="U25" s="34"/>
      <c r="V25" s="34"/>
      <c r="W25" s="34"/>
      <c r="X25" s="34"/>
      <c r="Y25" s="34"/>
      <c r="Z25" s="14"/>
      <c r="AA25" s="14"/>
      <c r="AB25" s="14"/>
      <c r="AC25" s="14"/>
    </row>
    <row r="26" spans="2:29" ht="24.95" customHeight="1" x14ac:dyDescent="0.2">
      <c r="M26" s="133" t="s">
        <v>148</v>
      </c>
      <c r="N26" s="606">
        <f>(Carburant_Principal_09+Carburant_Secondaire_09)-Carburant_Bloc_09</f>
        <v>134.38666666666666</v>
      </c>
      <c r="O26" s="59"/>
      <c r="P26" s="574" t="s">
        <v>90</v>
      </c>
      <c r="Q26" s="577">
        <f>Masse_Atterrissage_09</f>
        <v>1409.2405899999999</v>
      </c>
      <c r="R26" s="577"/>
      <c r="S26" s="34"/>
      <c r="T26" s="35"/>
      <c r="U26" s="34"/>
      <c r="V26" s="34"/>
      <c r="W26" s="34"/>
      <c r="X26" s="34"/>
      <c r="Y26" s="34"/>
      <c r="Z26" s="14"/>
      <c r="AA26" s="14"/>
      <c r="AB26" s="14"/>
      <c r="AC26" s="14"/>
    </row>
    <row r="27" spans="2:29" ht="24.95" customHeight="1" thickBot="1" x14ac:dyDescent="0.35">
      <c r="L27" s="12"/>
      <c r="M27" s="262" t="s">
        <v>263</v>
      </c>
      <c r="N27" s="625">
        <f>(Carburant_utilisable_09)-Carburant_Bloc_09</f>
        <v>122.38666666666666</v>
      </c>
      <c r="O27" s="59"/>
      <c r="P27" s="700"/>
      <c r="Q27" s="700"/>
      <c r="R27" s="700"/>
      <c r="S27" s="34"/>
      <c r="T27" s="35"/>
      <c r="U27" s="34"/>
      <c r="V27" s="34"/>
      <c r="W27" s="34"/>
      <c r="X27" s="34"/>
      <c r="Y27" s="34"/>
      <c r="Z27" s="14"/>
      <c r="AA27" s="14"/>
      <c r="AB27" s="14"/>
      <c r="AC27" s="14"/>
    </row>
    <row r="28" spans="2:29" ht="24.95" customHeight="1" x14ac:dyDescent="0.2">
      <c r="N28" s="1"/>
      <c r="O28" s="59"/>
      <c r="P28" s="573" t="s">
        <v>142</v>
      </c>
      <c r="Q28" s="35"/>
      <c r="R28" s="574"/>
      <c r="S28" s="34"/>
      <c r="T28" s="35"/>
      <c r="U28" s="34"/>
      <c r="V28" s="34"/>
      <c r="W28" s="34"/>
      <c r="X28" s="34"/>
      <c r="Y28" s="34"/>
      <c r="Z28" s="14"/>
      <c r="AA28" s="14"/>
      <c r="AB28" s="14"/>
      <c r="AC28" s="14"/>
    </row>
    <row r="29" spans="2:29" ht="24.95" customHeight="1" x14ac:dyDescent="0.2">
      <c r="O29" s="59"/>
      <c r="P29" s="574" t="s">
        <v>100</v>
      </c>
      <c r="Q29" s="577">
        <f>C22</f>
        <v>1542</v>
      </c>
      <c r="R29" s="34">
        <v>462</v>
      </c>
      <c r="S29" s="34"/>
      <c r="T29" s="35"/>
      <c r="U29" s="34"/>
      <c r="V29" s="34"/>
      <c r="W29" s="34"/>
      <c r="X29" s="34"/>
      <c r="Y29" s="34"/>
      <c r="Z29" s="14"/>
      <c r="AA29" s="14"/>
      <c r="AB29" s="14"/>
      <c r="AC29" s="14"/>
    </row>
    <row r="30" spans="2:29" ht="24.95" customHeight="1" x14ac:dyDescent="0.2">
      <c r="O30" s="59"/>
      <c r="P30" s="574" t="s">
        <v>101</v>
      </c>
      <c r="Q30" s="577">
        <f>D7</f>
        <v>1068.4821899999999</v>
      </c>
      <c r="R30" s="34">
        <v>462</v>
      </c>
      <c r="S30" s="34"/>
      <c r="T30" s="35"/>
      <c r="U30" s="34"/>
      <c r="V30" s="34"/>
      <c r="W30" s="34"/>
      <c r="X30" s="34"/>
      <c r="Y30" s="34"/>
    </row>
    <row r="31" spans="2:29" ht="24.95" customHeight="1" x14ac:dyDescent="0.3">
      <c r="O31" s="59"/>
      <c r="P31" s="700"/>
      <c r="Q31" s="700"/>
      <c r="R31" s="700"/>
      <c r="S31" s="34"/>
      <c r="T31" s="35"/>
      <c r="U31" s="34"/>
      <c r="V31" s="34"/>
      <c r="W31" s="34"/>
      <c r="X31" s="34"/>
      <c r="Y31" s="34"/>
    </row>
    <row r="32" spans="2:29" ht="24.95" customHeight="1" x14ac:dyDescent="0.3">
      <c r="O32" s="59"/>
      <c r="P32" s="702" t="s">
        <v>136</v>
      </c>
      <c r="Q32" s="35"/>
      <c r="R32" s="34"/>
      <c r="S32" s="34"/>
      <c r="T32" s="35"/>
      <c r="U32" s="34"/>
      <c r="V32" s="34"/>
      <c r="W32" s="34"/>
      <c r="X32" s="34"/>
      <c r="Y32" s="34"/>
    </row>
    <row r="33" spans="11:19" ht="24.95" customHeight="1" x14ac:dyDescent="0.2">
      <c r="P33" s="28" t="s">
        <v>149</v>
      </c>
      <c r="Q33" s="49"/>
      <c r="R33" s="27">
        <f>$F$7/$S$33</f>
        <v>139.1</v>
      </c>
      <c r="S33" s="27">
        <f>Masse_à_vide_09</f>
        <v>1068.4821899999999</v>
      </c>
    </row>
    <row r="34" spans="11:19" ht="24.95" customHeight="1" x14ac:dyDescent="0.2">
      <c r="P34" s="50" t="s">
        <v>86</v>
      </c>
      <c r="Q34" s="51"/>
      <c r="R34" s="27">
        <f>SUM($F$7:$F$9)/$S$34</f>
        <v>139.65428210369265</v>
      </c>
      <c r="S34" s="27">
        <f>SUM($D$7:$D$9)</f>
        <v>1222.4821899999999</v>
      </c>
    </row>
    <row r="35" spans="11:19" ht="24.95" customHeight="1" x14ac:dyDescent="0.2">
      <c r="P35" s="28" t="s">
        <v>81</v>
      </c>
      <c r="Q35" s="49"/>
      <c r="R35" s="27">
        <f>SUM($F$7:$F$10)/$S$35</f>
        <v>142.13236392046176</v>
      </c>
      <c r="S35" s="27">
        <f>SUM($D$7:$D$11)</f>
        <v>1302.4821899999999</v>
      </c>
    </row>
    <row r="36" spans="11:19" ht="24.95" customHeight="1" x14ac:dyDescent="0.2">
      <c r="P36" s="50" t="s">
        <v>82</v>
      </c>
      <c r="Q36" s="51"/>
      <c r="R36" s="27">
        <f>SUM($F$7:$F$12)/$S$36</f>
        <v>142.63421938624555</v>
      </c>
      <c r="S36" s="27">
        <f>SUM($D$7:$D$12)</f>
        <v>1312.4821899999999</v>
      </c>
    </row>
    <row r="37" spans="11:19" ht="24.95" customHeight="1" x14ac:dyDescent="0.2">
      <c r="P37" s="28" t="s">
        <v>83</v>
      </c>
      <c r="Q37" s="49"/>
      <c r="R37" s="27">
        <f>SUM($F$7:$F$12)/$S$37</f>
        <v>142.63421938624555</v>
      </c>
      <c r="S37" s="27">
        <f>SUM($D$7:$D$12)</f>
        <v>1312.4821899999999</v>
      </c>
    </row>
    <row r="38" spans="11:19" ht="24.95" customHeight="1" x14ac:dyDescent="0.2">
      <c r="P38" s="50" t="s">
        <v>84</v>
      </c>
      <c r="Q38" s="51"/>
      <c r="R38" s="27">
        <f>SUM($F$7:$F$13)/$S$38</f>
        <v>143.84691695337517</v>
      </c>
      <c r="S38" s="27">
        <f>SUM($D$7:$D$13)</f>
        <v>1456.4821899999999</v>
      </c>
    </row>
    <row r="39" spans="11:19" ht="24.95" customHeight="1" x14ac:dyDescent="0.2">
      <c r="P39" s="28" t="s">
        <v>115</v>
      </c>
      <c r="Q39" s="27">
        <f>Moment_Décollage_09</f>
        <v>209510.472629</v>
      </c>
      <c r="R39" s="52">
        <f>E14</f>
        <v>143.84691695337517</v>
      </c>
      <c r="S39" s="53">
        <f>Q39/R39</f>
        <v>1456.4821899999999</v>
      </c>
    </row>
    <row r="40" spans="11:19" ht="24.95" customHeight="1" x14ac:dyDescent="0.2">
      <c r="P40" s="28" t="s">
        <v>116</v>
      </c>
      <c r="Q40" s="27">
        <f>Moment_Atterrissage_09</f>
        <v>202192.74878899998</v>
      </c>
      <c r="R40" s="52">
        <f>V13</f>
        <v>143.47638737044892</v>
      </c>
      <c r="S40" s="53">
        <f>Q40/R40</f>
        <v>1409.2405899999999</v>
      </c>
    </row>
    <row r="41" spans="11:19" ht="24.95" customHeight="1" thickBot="1" x14ac:dyDescent="0.25"/>
    <row r="42" spans="11:19" ht="24.95" customHeight="1" x14ac:dyDescent="0.2">
      <c r="M42" s="995" t="s">
        <v>18</v>
      </c>
      <c r="N42" s="996"/>
    </row>
    <row r="43" spans="11:19" ht="24.95" customHeight="1" x14ac:dyDescent="0.2">
      <c r="M43" s="477"/>
      <c r="N43" s="478"/>
    </row>
    <row r="44" spans="11:19" ht="24.95" customHeight="1" x14ac:dyDescent="0.2">
      <c r="M44" s="479"/>
      <c r="N44" s="480"/>
    </row>
    <row r="45" spans="11:19" ht="24.95" customHeight="1" x14ac:dyDescent="0.2">
      <c r="M45" s="479"/>
      <c r="N45" s="480"/>
    </row>
    <row r="46" spans="11:19" ht="24.95" customHeight="1" x14ac:dyDescent="0.2">
      <c r="K46" s="14"/>
      <c r="L46" s="14"/>
      <c r="M46" s="479"/>
      <c r="N46" s="480"/>
      <c r="O46" s="588"/>
      <c r="P46" s="14"/>
      <c r="Q46" s="18"/>
      <c r="R46" s="18"/>
      <c r="S46" s="14"/>
    </row>
    <row r="47" spans="11:19" ht="24.95" customHeight="1" x14ac:dyDescent="0.2">
      <c r="K47" s="14"/>
      <c r="L47" s="14"/>
      <c r="M47" s="479"/>
      <c r="N47" s="480"/>
      <c r="O47" s="588"/>
      <c r="P47" s="14"/>
      <c r="Q47" s="18"/>
      <c r="R47" s="18"/>
      <c r="S47" s="14"/>
    </row>
    <row r="48" spans="11:19" ht="24.95" customHeight="1" x14ac:dyDescent="0.2">
      <c r="K48" s="14"/>
      <c r="L48" s="14"/>
      <c r="M48" s="479"/>
      <c r="N48" s="480"/>
      <c r="O48" s="588"/>
      <c r="P48" s="14"/>
      <c r="Q48" s="18"/>
      <c r="R48" s="18"/>
      <c r="S48" s="14"/>
    </row>
    <row r="49" spans="11:19" ht="24.95" customHeight="1" thickBot="1" x14ac:dyDescent="0.25">
      <c r="K49" s="14"/>
      <c r="L49" s="676"/>
      <c r="M49" s="481"/>
      <c r="N49" s="482"/>
      <c r="O49" s="588"/>
      <c r="P49" s="14"/>
      <c r="Q49" s="18"/>
      <c r="R49" s="18"/>
      <c r="S49" s="14"/>
    </row>
    <row r="50" spans="11:19" ht="24.95" customHeight="1" x14ac:dyDescent="0.2">
      <c r="K50" s="14"/>
      <c r="L50" s="14"/>
      <c r="M50" s="14"/>
      <c r="N50" s="18"/>
      <c r="O50" s="588"/>
      <c r="P50" s="14"/>
      <c r="Q50" s="18"/>
      <c r="R50" s="18"/>
      <c r="S50" s="14"/>
    </row>
    <row r="51" spans="11:19" x14ac:dyDescent="0.2">
      <c r="K51" s="14"/>
      <c r="L51" s="14"/>
      <c r="M51" s="14"/>
      <c r="N51" s="18"/>
      <c r="O51" s="588"/>
      <c r="P51" s="14"/>
      <c r="Q51" s="18"/>
      <c r="R51" s="18"/>
      <c r="S51" s="14"/>
    </row>
    <row r="52" spans="11:19" x14ac:dyDescent="0.2">
      <c r="K52" s="14"/>
      <c r="L52" s="14"/>
      <c r="M52" s="14"/>
      <c r="N52" s="18"/>
      <c r="O52" s="588"/>
      <c r="P52" s="14"/>
      <c r="Q52" s="18"/>
      <c r="R52" s="18"/>
      <c r="S52" s="14"/>
    </row>
    <row r="53" spans="11:19" x14ac:dyDescent="0.2">
      <c r="K53" s="14"/>
      <c r="L53" s="14"/>
      <c r="M53" s="14"/>
      <c r="N53" s="18"/>
      <c r="O53" s="588"/>
      <c r="P53" s="14"/>
      <c r="Q53" s="18"/>
      <c r="R53" s="18"/>
      <c r="S53" s="14"/>
    </row>
    <row r="54" spans="11:19" x14ac:dyDescent="0.2">
      <c r="K54" s="14"/>
      <c r="L54" s="14"/>
      <c r="M54" s="14"/>
      <c r="N54" s="18"/>
      <c r="O54" s="588"/>
      <c r="P54" s="14"/>
      <c r="Q54" s="18"/>
      <c r="R54" s="18"/>
      <c r="S54" s="14"/>
    </row>
    <row r="55" spans="11:19" x14ac:dyDescent="0.2">
      <c r="K55" s="14"/>
      <c r="L55" s="14"/>
      <c r="M55" s="14"/>
      <c r="N55" s="18"/>
      <c r="O55" s="588"/>
      <c r="P55" s="14"/>
      <c r="Q55" s="18"/>
      <c r="R55" s="18"/>
      <c r="S55" s="14"/>
    </row>
    <row r="56" spans="11:19" x14ac:dyDescent="0.2">
      <c r="K56" s="14"/>
      <c r="L56" s="14"/>
      <c r="M56" s="14"/>
      <c r="N56" s="18"/>
      <c r="O56" s="588"/>
      <c r="P56" s="14"/>
      <c r="Q56" s="18"/>
      <c r="R56" s="18"/>
      <c r="S56" s="14"/>
    </row>
    <row r="57" spans="11:19" x14ac:dyDescent="0.2">
      <c r="K57" s="14"/>
      <c r="L57" s="14"/>
      <c r="M57" s="14"/>
      <c r="N57" s="18"/>
      <c r="O57" s="588"/>
      <c r="P57" s="14"/>
      <c r="Q57" s="18"/>
      <c r="R57" s="18"/>
      <c r="S57" s="14"/>
    </row>
    <row r="58" spans="11:19" x14ac:dyDescent="0.2">
      <c r="K58" s="14"/>
      <c r="L58" s="14"/>
      <c r="M58" s="14"/>
      <c r="N58" s="18"/>
      <c r="O58" s="588"/>
      <c r="P58" s="14"/>
      <c r="Q58" s="18"/>
      <c r="R58" s="18"/>
      <c r="S58" s="14"/>
    </row>
    <row r="59" spans="11:19" x14ac:dyDescent="0.2">
      <c r="K59" s="14"/>
      <c r="L59" s="14"/>
      <c r="M59" s="14"/>
      <c r="N59" s="18"/>
      <c r="O59" s="588"/>
      <c r="P59" s="14"/>
      <c r="Q59" s="18"/>
      <c r="R59" s="18"/>
      <c r="S59" s="14"/>
    </row>
    <row r="60" spans="11:19" x14ac:dyDescent="0.2">
      <c r="K60" s="14"/>
      <c r="L60" s="14"/>
      <c r="M60" s="14"/>
      <c r="N60" s="18"/>
      <c r="O60" s="588"/>
      <c r="P60" s="14"/>
      <c r="Q60" s="18"/>
      <c r="R60" s="18"/>
      <c r="S60" s="14"/>
    </row>
    <row r="61" spans="11:19" x14ac:dyDescent="0.2">
      <c r="K61" s="14"/>
      <c r="L61" s="14"/>
      <c r="M61" s="14"/>
      <c r="N61" s="18"/>
      <c r="O61" s="588"/>
      <c r="P61" s="14"/>
      <c r="Q61" s="18"/>
      <c r="R61" s="18"/>
      <c r="S61" s="14"/>
    </row>
  </sheetData>
  <sheetProtection algorithmName="SHA-512" hashValue="HsW43zud+419+rTWOfeBQL9htw4hmqtOEeaNV1HJBcn1LIregfWci1sU7966Oty1y6XzTjWV1zprEF0vPzFMnw==" saltValue="NxDKlrrZJ83wXNh+BGyOLA==" spinCount="100000" sheet="1" objects="1" scenarios="1" selectLockedCells="1"/>
  <mergeCells count="37">
    <mergeCell ref="B1:N1"/>
    <mergeCell ref="B2:C2"/>
    <mergeCell ref="D2:E2"/>
    <mergeCell ref="G2:H2"/>
    <mergeCell ref="I2:J2"/>
    <mergeCell ref="M2:N2"/>
    <mergeCell ref="B20:C20"/>
    <mergeCell ref="B3:C3"/>
    <mergeCell ref="D3:F3"/>
    <mergeCell ref="I3:J3"/>
    <mergeCell ref="M3:N3"/>
    <mergeCell ref="M4:N4"/>
    <mergeCell ref="C5:F5"/>
    <mergeCell ref="M13:N13"/>
    <mergeCell ref="M14:N14"/>
    <mergeCell ref="H8:J8"/>
    <mergeCell ref="M5:N5"/>
    <mergeCell ref="J6:K6"/>
    <mergeCell ref="H6:I6"/>
    <mergeCell ref="H7:K7"/>
    <mergeCell ref="H5:I5"/>
    <mergeCell ref="S14:W14"/>
    <mergeCell ref="S7:T7"/>
    <mergeCell ref="M42:N42"/>
    <mergeCell ref="H20:K20"/>
    <mergeCell ref="D16:E16"/>
    <mergeCell ref="H9:J9"/>
    <mergeCell ref="D17:E17"/>
    <mergeCell ref="B18:F18"/>
    <mergeCell ref="H10:K10"/>
    <mergeCell ref="B15:F15"/>
    <mergeCell ref="M15:N15"/>
    <mergeCell ref="B19:F19"/>
    <mergeCell ref="E20:F20"/>
    <mergeCell ref="E21:F21"/>
    <mergeCell ref="E22:F22"/>
    <mergeCell ref="M21:N21"/>
  </mergeCells>
  <phoneticPr fontId="21" type="noConversion"/>
  <conditionalFormatting sqref="B15:F15">
    <cfRule type="cellIs" dxfId="94" priority="35" operator="equal">
      <formula>"* ATTENTION ! Le total carburant est supérieur à la capacité totale !"</formula>
    </cfRule>
  </conditionalFormatting>
  <conditionalFormatting sqref="B18:F18">
    <cfRule type="cellIs" dxfId="93" priority="34" operator="equal">
      <formula>"* ATTENTION ! La masse max au décollage est dépassée !"</formula>
    </cfRule>
  </conditionalFormatting>
  <conditionalFormatting sqref="C14">
    <cfRule type="cellIs" dxfId="92" priority="38" operator="greaterThan">
      <formula>318</formula>
    </cfRule>
  </conditionalFormatting>
  <conditionalFormatting sqref="D12">
    <cfRule type="cellIs" dxfId="91" priority="18" operator="greaterThan">
      <formula>59</formula>
    </cfRule>
  </conditionalFormatting>
  <conditionalFormatting sqref="D14">
    <cfRule type="cellIs" dxfId="90" priority="5" operator="greaterThan">
      <formula>$C$21</formula>
    </cfRule>
  </conditionalFormatting>
  <conditionalFormatting sqref="D21">
    <cfRule type="cellIs" dxfId="89" priority="24" operator="greaterThan">
      <formula>$C$21</formula>
    </cfRule>
  </conditionalFormatting>
  <conditionalFormatting sqref="D22">
    <cfRule type="cellIs" dxfId="88" priority="23" operator="greaterThan">
      <formula>$C$22</formula>
    </cfRule>
  </conditionalFormatting>
  <conditionalFormatting sqref="E21:E22">
    <cfRule type="cellIs" dxfId="87" priority="25" operator="equal">
      <formula>"DANGER !"</formula>
    </cfRule>
    <cfRule type="cellIs" dxfId="86" priority="26" operator="equal">
      <formula>"Ok !"</formula>
    </cfRule>
  </conditionalFormatting>
  <conditionalFormatting sqref="F16">
    <cfRule type="cellIs" dxfId="85" priority="42" operator="greaterThan">
      <formula>1542</formula>
    </cfRule>
    <cfRule type="cellIs" dxfId="84" priority="45" operator="equal">
      <formula>"DANGER"</formula>
    </cfRule>
  </conditionalFormatting>
  <conditionalFormatting sqref="F17">
    <cfRule type="cellIs" dxfId="83" priority="41" operator="greaterThan">
      <formula>221708</formula>
    </cfRule>
  </conditionalFormatting>
  <conditionalFormatting sqref="G25">
    <cfRule type="cellIs" dxfId="82" priority="32" operator="equal">
      <formula>"* DANGER : Avion hors centrage arrière, INTERDICTION de décoller !"</formula>
    </cfRule>
  </conditionalFormatting>
  <conditionalFormatting sqref="H20">
    <cfRule type="cellIs" dxfId="81" priority="11" operator="equal">
      <formula>"* DANGER : Avion hors centrage arrière, INTERDICTION de décoller !"</formula>
    </cfRule>
  </conditionalFormatting>
  <conditionalFormatting sqref="H7:K7">
    <cfRule type="cellIs" dxfId="80" priority="6" operator="equal">
      <formula>"* Minimum 1 aérodrome de destination"</formula>
    </cfRule>
  </conditionalFormatting>
  <conditionalFormatting sqref="J6">
    <cfRule type="cellIs" dxfId="79" priority="1" operator="equal">
      <formula>"Erreur !"</formula>
    </cfRule>
  </conditionalFormatting>
  <conditionalFormatting sqref="K9">
    <cfRule type="cellIs" dxfId="78" priority="7" operator="lessThanOrEqual">
      <formula>0</formula>
    </cfRule>
  </conditionalFormatting>
  <conditionalFormatting sqref="M15">
    <cfRule type="cellIs" dxfId="77" priority="43" operator="equal">
      <formula>"DANGER - Total carburant insuffisant !"</formula>
    </cfRule>
    <cfRule type="cellIs" dxfId="76" priority="46" operator="equal">
      <formula>"OK - Quantité de carburant suffisante"</formula>
    </cfRule>
  </conditionalFormatting>
  <conditionalFormatting sqref="M21">
    <cfRule type="cellIs" dxfId="75" priority="3" operator="equal">
      <formula>"** Réserve finale de carburant de 45 mn"</formula>
    </cfRule>
    <cfRule type="cellIs" dxfId="74" priority="4" operator="equal">
      <formula>"** Réserve finale de carburant de 30 mn"</formula>
    </cfRule>
  </conditionalFormatting>
  <conditionalFormatting sqref="M13:N13">
    <cfRule type="cellIs" dxfId="73" priority="27" operator="equal">
      <formula>"Capacité carburant Ok !"</formula>
    </cfRule>
    <cfRule type="cellIs" dxfId="72" priority="28" operator="equal">
      <formula>"ERREUR capacité carburant !"</formula>
    </cfRule>
  </conditionalFormatting>
  <conditionalFormatting sqref="N7">
    <cfRule type="cellIs" dxfId="71" priority="44" operator="greaterThan">
      <formula>318</formula>
    </cfRule>
  </conditionalFormatting>
  <conditionalFormatting sqref="N8:N9">
    <cfRule type="cellIs" dxfId="70" priority="19" operator="greaterThan">
      <formula>159</formula>
    </cfRule>
  </conditionalFormatting>
  <conditionalFormatting sqref="N10">
    <cfRule type="cellIs" dxfId="69" priority="31" operator="greaterThan">
      <formula>306</formula>
    </cfRule>
  </conditionalFormatting>
  <conditionalFormatting sqref="N24">
    <cfRule type="expression" dxfId="68" priority="16">
      <formula>$N$24&gt;$N$10</formula>
    </cfRule>
  </conditionalFormatting>
  <conditionalFormatting sqref="N26:N27">
    <cfRule type="cellIs" dxfId="67" priority="9" operator="lessThan">
      <formula>0</formula>
    </cfRule>
  </conditionalFormatting>
  <conditionalFormatting sqref="T12">
    <cfRule type="cellIs" dxfId="66" priority="2" operator="lessThan">
      <formula>0</formula>
    </cfRule>
  </conditionalFormatting>
  <dataValidations count="1">
    <dataValidation type="list" allowBlank="1" showInputMessage="1" showErrorMessage="1" sqref="N19" xr:uid="{06DE0E6B-C7CC-4CAA-B659-1058F06FD3CD}">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2BFE5-894C-4915-A8E1-063EC18C04EA}">
  <sheetPr>
    <tabColor theme="5" tint="-0.499984740745262"/>
    <pageSetUpPr fitToPage="1"/>
  </sheetPr>
  <dimension ref="B1:AF60"/>
  <sheetViews>
    <sheetView showGridLines="0" topLeftCell="C1" zoomScale="85" zoomScaleNormal="85" workbookViewId="0">
      <pane ySplit="3" topLeftCell="A4" activePane="bottomLeft" state="frozenSplit"/>
      <selection pane="bottomLeft" activeCell="K16" sqref="K16"/>
    </sheetView>
  </sheetViews>
  <sheetFormatPr baseColWidth="10" defaultRowHeight="18.75" x14ac:dyDescent="0.2"/>
  <cols>
    <col min="1" max="1" width="42.7109375" style="1" customWidth="1"/>
    <col min="2" max="2" width="31.42578125" style="1" customWidth="1"/>
    <col min="3" max="6" width="15.7109375" style="24"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4" customWidth="1"/>
    <col min="15" max="15" width="5.7109375" style="78" customWidth="1"/>
    <col min="16" max="16" width="27.5703125" style="67" hidden="1" customWidth="1"/>
    <col min="17" max="17" width="47.7109375" style="68" hidden="1" customWidth="1"/>
    <col min="18" max="18" width="35.28515625" style="67" bestFit="1" customWidth="1"/>
    <col min="19" max="20" width="16.7109375" style="67" customWidth="1"/>
    <col min="21" max="21" width="18.28515625" style="67" bestFit="1" customWidth="1"/>
    <col min="22" max="22" width="23.7109375" style="67" customWidth="1"/>
    <col min="23" max="23" width="14" style="14" customWidth="1"/>
    <col min="24" max="24" width="11.42578125" style="14"/>
    <col min="25" max="25" width="35.28515625" style="10" bestFit="1" customWidth="1"/>
    <col min="26" max="32" width="11.42578125" style="14"/>
    <col min="33"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32" s="7" customFormat="1" ht="50.1" customHeight="1" thickBot="1" x14ac:dyDescent="0.25">
      <c r="B1" s="779" t="s">
        <v>253</v>
      </c>
      <c r="C1" s="780"/>
      <c r="D1" s="780"/>
      <c r="E1" s="780"/>
      <c r="F1" s="780"/>
      <c r="G1" s="780"/>
      <c r="H1" s="780"/>
      <c r="I1" s="780"/>
      <c r="J1" s="780"/>
      <c r="K1" s="780"/>
      <c r="L1" s="780"/>
      <c r="M1" s="780"/>
      <c r="N1" s="781"/>
      <c r="O1" s="77"/>
      <c r="P1" s="64"/>
      <c r="Q1" s="65"/>
      <c r="R1" s="64"/>
      <c r="S1" s="64"/>
      <c r="T1" s="64"/>
      <c r="U1" s="64"/>
      <c r="V1" s="64"/>
      <c r="W1" s="604"/>
      <c r="X1" s="604"/>
      <c r="Y1" s="9"/>
      <c r="Z1" s="604"/>
      <c r="AA1" s="604"/>
      <c r="AB1" s="604"/>
      <c r="AC1" s="604"/>
      <c r="AD1" s="604"/>
      <c r="AE1" s="604"/>
      <c r="AF1" s="604"/>
    </row>
    <row r="2" spans="2:32" ht="24.95" customHeight="1" thickBot="1" x14ac:dyDescent="0.25">
      <c r="B2" s="934" t="s">
        <v>16</v>
      </c>
      <c r="C2" s="934"/>
      <c r="D2" s="935">
        <v>44307</v>
      </c>
      <c r="E2" s="936"/>
      <c r="G2" s="934" t="s">
        <v>35</v>
      </c>
      <c r="H2" s="934"/>
      <c r="I2" s="937">
        <f ca="1">NOW()</f>
        <v>45720.672637847223</v>
      </c>
      <c r="J2" s="937"/>
      <c r="K2" s="8"/>
      <c r="M2" s="866" t="s">
        <v>19</v>
      </c>
      <c r="N2" s="866"/>
    </row>
    <row r="3" spans="2:32" ht="24.95" customHeight="1" thickBot="1" x14ac:dyDescent="0.25">
      <c r="B3" s="867" t="s">
        <v>17</v>
      </c>
      <c r="C3" s="867"/>
      <c r="D3" s="841">
        <v>44981</v>
      </c>
      <c r="E3" s="842"/>
      <c r="F3" s="843"/>
      <c r="H3" s="686" t="s">
        <v>244</v>
      </c>
      <c r="I3" s="844">
        <v>0.47916666666666669</v>
      </c>
      <c r="J3" s="845"/>
      <c r="M3" s="846"/>
      <c r="N3" s="847"/>
    </row>
    <row r="4" spans="2:32" ht="24.95" customHeight="1" thickBot="1" x14ac:dyDescent="0.25">
      <c r="C4" s="840" t="s">
        <v>128</v>
      </c>
      <c r="D4" s="840"/>
      <c r="E4" s="1016" t="s">
        <v>123</v>
      </c>
      <c r="F4" s="1017"/>
      <c r="H4" s="598" t="str">
        <f>VLOOKUP(E4,P23:Q24,2)</f>
        <v>CONFIGURATION HORS VOLTIGE</v>
      </c>
      <c r="M4" s="848" t="str">
        <f>IF((Capacité_carburant_Max_10-Carburant_utilisable_10)&gt;0,Capacité_carburant_Max_10-Carburant_utilisable_10,"* Tout le carburant est utilisable.")</f>
        <v>* Tout le carburant est utilisable.</v>
      </c>
      <c r="N4" s="848"/>
    </row>
    <row r="5" spans="2:32" ht="24.95" customHeight="1" thickBot="1" x14ac:dyDescent="0.25">
      <c r="C5" s="1011" t="s">
        <v>50</v>
      </c>
      <c r="D5" s="1012"/>
      <c r="E5" s="1012"/>
      <c r="F5" s="1013"/>
      <c r="H5" s="804" t="str">
        <f>IF(E4="Catégorie A",UPPER("Génération du graphique catégorie a"),UPPER("Génération du graphique catégorie u"))</f>
        <v>GÉNÉRATION DU GRAPHIQUE CATÉGORIE U</v>
      </c>
      <c r="I5" s="805"/>
      <c r="J5" s="805"/>
      <c r="K5" s="943"/>
      <c r="L5" s="2"/>
      <c r="M5" s="917" t="s">
        <v>42</v>
      </c>
      <c r="N5" s="918"/>
      <c r="O5" s="81"/>
      <c r="P5" s="67" t="s">
        <v>14</v>
      </c>
      <c r="T5" s="74"/>
    </row>
    <row r="6" spans="2:32" s="2" customFormat="1" ht="39" customHeight="1" thickBot="1" x14ac:dyDescent="0.25">
      <c r="B6" s="4"/>
      <c r="C6" s="492" t="s">
        <v>0</v>
      </c>
      <c r="D6" s="493" t="s">
        <v>11</v>
      </c>
      <c r="E6" s="493" t="s">
        <v>10</v>
      </c>
      <c r="F6" s="494" t="s">
        <v>9</v>
      </c>
      <c r="H6" s="511" t="str">
        <f>IF(E4="Catégorie A","CAP10 (Catégorie A)- F-GDTF","CAP10 (Catégorie U)- F-GDTF")</f>
        <v>CAP10 (Catégorie U)- F-GDTF</v>
      </c>
      <c r="I6" s="510" t="s">
        <v>132</v>
      </c>
      <c r="J6" s="510" t="s">
        <v>3</v>
      </c>
      <c r="K6" s="512" t="s">
        <v>13</v>
      </c>
      <c r="L6" s="1"/>
      <c r="M6" s="418" t="s">
        <v>118</v>
      </c>
      <c r="N6" s="416">
        <v>0.72</v>
      </c>
      <c r="O6" s="216"/>
      <c r="P6" s="71" t="s">
        <v>15</v>
      </c>
      <c r="Q6" s="72"/>
      <c r="R6" s="11" t="b">
        <f>IF(Catégorie_10="Catégorie A",IF(Carburant_Secondaire_10&gt;0,"Danger !","Ok !"))</f>
        <v>0</v>
      </c>
      <c r="T6" s="85"/>
      <c r="W6" s="596"/>
      <c r="X6" s="596"/>
      <c r="Y6" s="11"/>
      <c r="Z6" s="596"/>
      <c r="AA6" s="596"/>
      <c r="AB6" s="596"/>
      <c r="AC6" s="596"/>
      <c r="AD6" s="596"/>
      <c r="AE6" s="596"/>
      <c r="AF6" s="596"/>
    </row>
    <row r="7" spans="2:32" ht="24.95" customHeight="1" thickBot="1" x14ac:dyDescent="0.25">
      <c r="B7" s="500" t="s">
        <v>1</v>
      </c>
      <c r="C7" s="521"/>
      <c r="D7" s="532">
        <v>565.6</v>
      </c>
      <c r="E7" s="323">
        <v>0.308</v>
      </c>
      <c r="F7" s="491">
        <f t="shared" ref="F7:F12" si="0">E7*D7</f>
        <v>174.20480000000001</v>
      </c>
      <c r="H7" s="513" t="s">
        <v>86</v>
      </c>
      <c r="I7" s="505">
        <f>IF(Catégorie_10="Catégorie A",V28,V34)</f>
        <v>0.18</v>
      </c>
      <c r="J7" s="506">
        <f>Masse_à_vide_10</f>
        <v>565.6</v>
      </c>
      <c r="K7" s="514">
        <f>W34/J7</f>
        <v>0.308</v>
      </c>
      <c r="M7" s="417" t="s">
        <v>127</v>
      </c>
      <c r="N7" s="649">
        <f>IF(Catégorie_10="Catégorie A",Carburant_Principal_10,Carburant_Principal_10+Carburant_Secondaire_10)</f>
        <v>110</v>
      </c>
      <c r="R7" s="900" t="s">
        <v>92</v>
      </c>
      <c r="S7" s="901"/>
      <c r="T7" s="522" t="s">
        <v>11</v>
      </c>
      <c r="U7" s="523" t="s">
        <v>105</v>
      </c>
      <c r="V7" s="524" t="s">
        <v>9</v>
      </c>
    </row>
    <row r="8" spans="2:32" ht="24.95" customHeight="1" x14ac:dyDescent="0.2">
      <c r="B8" s="501" t="str">
        <f>IF(E4="Catégorie A","CDB + parachute :","CDB :")</f>
        <v>CDB :</v>
      </c>
      <c r="C8" s="530"/>
      <c r="D8" s="120">
        <v>75</v>
      </c>
      <c r="E8" s="531">
        <v>0.6</v>
      </c>
      <c r="F8" s="490">
        <f t="shared" si="0"/>
        <v>45</v>
      </c>
      <c r="H8" s="228" t="s">
        <v>81</v>
      </c>
      <c r="I8" s="507">
        <f>IF(Catégorie_10="Catégorie A",V29,V35)</f>
        <v>0.18</v>
      </c>
      <c r="J8" s="96">
        <f>Masse_Max_au_Décollage_Autorisée_10</f>
        <v>830</v>
      </c>
      <c r="K8" s="229">
        <f>W35/J8</f>
        <v>0.2098853012048193</v>
      </c>
      <c r="M8" s="533" t="s">
        <v>126</v>
      </c>
      <c r="N8" s="650">
        <v>60</v>
      </c>
      <c r="R8" s="433" t="s">
        <v>1</v>
      </c>
      <c r="S8" s="536"/>
      <c r="T8" s="537">
        <f>Masse_à_vide_10</f>
        <v>565.6</v>
      </c>
      <c r="U8" s="538">
        <f t="shared" ref="U8:U13" si="1">E7</f>
        <v>0.308</v>
      </c>
      <c r="V8" s="539">
        <f t="shared" ref="V8:V13" si="2">T8*U8</f>
        <v>174.20480000000001</v>
      </c>
    </row>
    <row r="9" spans="2:32" ht="24.95" customHeight="1" thickBot="1" x14ac:dyDescent="0.25">
      <c r="B9" s="501" t="str">
        <f>IF(E4="Catégorie A","Co Pilote + Parachute :","Co Pilote :")</f>
        <v>Co Pilote :</v>
      </c>
      <c r="C9" s="530"/>
      <c r="D9" s="121">
        <v>75</v>
      </c>
      <c r="E9" s="531">
        <v>0.6</v>
      </c>
      <c r="F9" s="490">
        <f t="shared" si="0"/>
        <v>45</v>
      </c>
      <c r="H9" s="228" t="s">
        <v>82</v>
      </c>
      <c r="I9" s="507">
        <f>IF(Catégorie_10="Catégorie A",V30,V36)</f>
        <v>0.3</v>
      </c>
      <c r="J9" s="96">
        <f>Masse_Max_au_Décollage_Autorisée_10</f>
        <v>830</v>
      </c>
      <c r="K9" s="229">
        <f>W36/J9</f>
        <v>0.31325301204819278</v>
      </c>
      <c r="M9" s="489" t="str">
        <f>IF(E4="Catégorie A","Réservoir AR vide en voltige !","Secondaire (Max 78 L) :")</f>
        <v>Secondaire (Max 78 L) :</v>
      </c>
      <c r="N9" s="651">
        <v>50</v>
      </c>
      <c r="P9" s="70" t="s">
        <v>94</v>
      </c>
      <c r="R9" s="170" t="s">
        <v>4</v>
      </c>
      <c r="S9" s="104"/>
      <c r="T9" s="105">
        <f>D8</f>
        <v>75</v>
      </c>
      <c r="U9" s="106">
        <f t="shared" si="1"/>
        <v>0.6</v>
      </c>
      <c r="V9" s="540">
        <f t="shared" si="2"/>
        <v>45</v>
      </c>
    </row>
    <row r="10" spans="2:32" ht="24.95" customHeight="1" thickBot="1" x14ac:dyDescent="0.25">
      <c r="B10" s="501" t="str">
        <f>IF(E4="Catégorie A","Pas de bagages !","Bagages (50 kg Max) :")</f>
        <v>Bagages (50 kg Max) :</v>
      </c>
      <c r="C10" s="530"/>
      <c r="D10" s="122">
        <v>10</v>
      </c>
      <c r="E10" s="531">
        <f>IF(E4="Catégorie A",0,1.5)</f>
        <v>1.5</v>
      </c>
      <c r="F10" s="490">
        <f t="shared" si="0"/>
        <v>15</v>
      </c>
      <c r="H10" s="515" t="s">
        <v>83</v>
      </c>
      <c r="I10" s="508">
        <f>IF(Catégorie_10="Catégorie A",V31,V37)</f>
        <v>0.3</v>
      </c>
      <c r="J10" s="98">
        <f>Masse_à_vide_10</f>
        <v>565.6</v>
      </c>
      <c r="K10" s="471">
        <f>W37/J10</f>
        <v>0.45968882602545968</v>
      </c>
      <c r="M10" s="417" t="s">
        <v>51</v>
      </c>
      <c r="N10" s="652">
        <f>IF(Catégorie_10="Catégorie A",Carburant_Principal_10,(Carburant_Principal_10+Carburant_Secondaire_10))</f>
        <v>110</v>
      </c>
      <c r="P10" s="67" t="s">
        <v>95</v>
      </c>
      <c r="Q10" s="73">
        <f>Consommation_minute_10</f>
        <v>0.7</v>
      </c>
      <c r="R10" s="170" t="s">
        <v>5</v>
      </c>
      <c r="S10" s="104"/>
      <c r="T10" s="105">
        <f>D9</f>
        <v>75</v>
      </c>
      <c r="U10" s="106">
        <f t="shared" si="1"/>
        <v>0.6</v>
      </c>
      <c r="V10" s="540">
        <f t="shared" si="2"/>
        <v>45</v>
      </c>
    </row>
    <row r="11" spans="2:32" ht="24.95" customHeight="1" x14ac:dyDescent="0.2">
      <c r="B11" s="501" t="s">
        <v>23</v>
      </c>
      <c r="C11" s="429">
        <f>Carburant_Principal_10</f>
        <v>60</v>
      </c>
      <c r="D11" s="322">
        <f>Densité_Carburant_10*C11</f>
        <v>43.199999999999996</v>
      </c>
      <c r="E11" s="324">
        <v>-0.24299999999999999</v>
      </c>
      <c r="F11" s="490">
        <f t="shared" si="0"/>
        <v>-10.497599999999998</v>
      </c>
      <c r="H11" s="343" t="s">
        <v>108</v>
      </c>
      <c r="I11" s="509">
        <f>E14</f>
        <v>0.26016169648774018</v>
      </c>
      <c r="J11" s="97">
        <f>D13</f>
        <v>804.80000000000007</v>
      </c>
      <c r="K11" s="344">
        <f>E13</f>
        <v>0.3902425447316103</v>
      </c>
      <c r="M11" s="417" t="str">
        <f>IF(E4="Catégorie A","Conso. horaire moy. à 2 700 tr/mn :","Conso. horaire moy. à 75% :")</f>
        <v>Conso. horaire moy. à 75% :</v>
      </c>
      <c r="N11" s="653">
        <f>IF(E4="Catégorie A",44,42)</f>
        <v>42</v>
      </c>
      <c r="P11" s="67" t="s">
        <v>96</v>
      </c>
      <c r="Q11" s="68">
        <f>Carburant_utilisable_10</f>
        <v>110</v>
      </c>
      <c r="R11" s="170" t="s">
        <v>124</v>
      </c>
      <c r="S11" s="104"/>
      <c r="T11" s="105">
        <f>IF(Catégorie_10="Catégorie A",0,Bagages_10)</f>
        <v>10</v>
      </c>
      <c r="U11" s="106">
        <f t="shared" si="1"/>
        <v>1.5</v>
      </c>
      <c r="V11" s="540">
        <f t="shared" si="2"/>
        <v>15</v>
      </c>
    </row>
    <row r="12" spans="2:32" ht="24.95" customHeight="1" thickBot="1" x14ac:dyDescent="0.25">
      <c r="B12" s="502" t="s">
        <v>78</v>
      </c>
      <c r="C12" s="498">
        <f>Carburant_Secondaire_10</f>
        <v>50</v>
      </c>
      <c r="D12" s="495">
        <f>Densité_Carburant_10*C12</f>
        <v>36</v>
      </c>
      <c r="E12" s="496">
        <v>1.26</v>
      </c>
      <c r="F12" s="497">
        <f t="shared" si="0"/>
        <v>45.36</v>
      </c>
      <c r="H12" s="231" t="s">
        <v>109</v>
      </c>
      <c r="I12" s="516">
        <f>U15</f>
        <v>0.27502793494893413</v>
      </c>
      <c r="J12" s="173">
        <f>Masse_Atterrissage_10</f>
        <v>749.36</v>
      </c>
      <c r="K12" s="174">
        <f>U14</f>
        <v>0.41254190242340122</v>
      </c>
      <c r="M12" s="450" t="s">
        <v>8</v>
      </c>
      <c r="N12" s="451">
        <f>N11/60</f>
        <v>0.7</v>
      </c>
      <c r="P12" s="67" t="s">
        <v>97</v>
      </c>
      <c r="Q12" s="75">
        <f>Q11/Q10</f>
        <v>157.14285714285714</v>
      </c>
      <c r="R12" s="170" t="s">
        <v>23</v>
      </c>
      <c r="S12" s="623">
        <f>IF(Carburant_Bloc_10&gt;Carburant_Principal_10,0,(Carburant_Principal_10)-Carburant_Bloc_10)</f>
        <v>0</v>
      </c>
      <c r="T12" s="105">
        <f>S12*Densité_Carburant_10</f>
        <v>0</v>
      </c>
      <c r="U12" s="106">
        <f t="shared" si="1"/>
        <v>-0.24299999999999999</v>
      </c>
      <c r="V12" s="540">
        <f t="shared" si="2"/>
        <v>0</v>
      </c>
    </row>
    <row r="13" spans="2:32" ht="24.95" customHeight="1" thickBot="1" x14ac:dyDescent="0.25">
      <c r="B13" s="503" t="s">
        <v>12</v>
      </c>
      <c r="C13" s="499">
        <f>SUM(C11:C12)</f>
        <v>110</v>
      </c>
      <c r="D13" s="307">
        <f>IF(Catégorie_10="Catégorie A",SUM(D7:D12)-Bagages_10,SUM(D7:D12))</f>
        <v>804.80000000000007</v>
      </c>
      <c r="E13" s="517">
        <f>Moment_Décollage_10/Masse_Décollage_10</f>
        <v>0.3902425447316103</v>
      </c>
      <c r="F13" s="384">
        <f>SUM(F7:F12)</f>
        <v>314.06720000000001</v>
      </c>
      <c r="H13" s="787" t="str">
        <f>IF(Nbre_Aérodromes_10&lt;=0,"* Minimum 1 aérodrome de destination","")</f>
        <v/>
      </c>
      <c r="I13" s="787"/>
      <c r="J13" s="787"/>
      <c r="K13" s="787"/>
      <c r="M13" s="1019" t="str">
        <f>IF(R6="Danger !","Attention le réservoir secondaire doit être vide !",IF(Catégorie_10="Catégorie A",IF(Carburant_Aile_Gauche_10&gt;72,"ERREUR capacité carburant !","Capacité carburant Ok !"),IF(Capacité_carburant_Max_10&gt;150,"ERREUR capacité carburant !","Capacité carburant Ok !")))</f>
        <v>Capacité carburant Ok !</v>
      </c>
      <c r="N13" s="1020"/>
      <c r="P13" s="67" t="s">
        <v>98</v>
      </c>
      <c r="Q13" s="68">
        <f>ROUNDDOWN(Q12/60,0)</f>
        <v>2</v>
      </c>
      <c r="R13" s="541" t="str">
        <f>B12</f>
        <v>Carburant secondaire :</v>
      </c>
      <c r="S13" s="623">
        <f>IF(Catégorie_10="Catégorie A",0,IF(Carburant_Bloc_10&gt;Carburant_Principal_10,Carburant_Secondaire_10-(Carburant_Bloc_10-Carburant_Principal_10),Carburant_Secondaire_10))</f>
        <v>33</v>
      </c>
      <c r="T13" s="542">
        <f>S13*Densité_Carburant_10</f>
        <v>23.759999999999998</v>
      </c>
      <c r="U13" s="543">
        <f t="shared" si="1"/>
        <v>1.26</v>
      </c>
      <c r="V13" s="544">
        <f t="shared" si="2"/>
        <v>29.937599999999996</v>
      </c>
    </row>
    <row r="14" spans="2:32" ht="24.95" customHeight="1" thickBot="1" x14ac:dyDescent="0.25">
      <c r="B14" s="1018" t="s">
        <v>171</v>
      </c>
      <c r="C14" s="1018"/>
      <c r="D14" s="1018"/>
      <c r="E14" s="518">
        <f>(E13/1.5)</f>
        <v>0.26016169648774018</v>
      </c>
      <c r="F14" s="41"/>
      <c r="H14" s="804" t="str">
        <f>UPPER("02-Données du vol")</f>
        <v>02-DONNÉES DU VOL</v>
      </c>
      <c r="I14" s="943"/>
      <c r="J14" s="673"/>
      <c r="K14" s="674"/>
      <c r="M14" s="917" t="str">
        <f>UPPER("Carburant Exploit. générale")</f>
        <v>CARBURANT EXPLOIT. GÉNÉRALE</v>
      </c>
      <c r="N14" s="918"/>
      <c r="P14" s="67" t="s">
        <v>99</v>
      </c>
      <c r="Q14" s="75">
        <f>Q12-(Q13*60)</f>
        <v>37.142857142857139</v>
      </c>
      <c r="R14" s="525" t="s">
        <v>161</v>
      </c>
      <c r="S14" s="655">
        <f>SUM(S12:S13)</f>
        <v>33</v>
      </c>
      <c r="T14" s="526">
        <f>SUM(T8:T13)</f>
        <v>749.36</v>
      </c>
      <c r="U14" s="529">
        <f>Moment_Atterrissage_10/Masse_Atterrissage_10</f>
        <v>0.41254190242340122</v>
      </c>
      <c r="V14" s="527">
        <f>SUM(V8:V13)</f>
        <v>309.14239999999995</v>
      </c>
    </row>
    <row r="15" spans="2:32" ht="24.95" customHeight="1" thickTop="1" thickBot="1" x14ac:dyDescent="0.25">
      <c r="B15" s="979" t="str">
        <f>IF(Catégorie_10="Catégorie A",IF(C13&gt;Carburant_Principal_10,"* ATTENTION ! Le total carburant est supérieur à la capacité totale !",""),IF(C13&gt;150,"* ATTENTION ! Le total carburant est supérieur à la capacité totale !",""))</f>
        <v/>
      </c>
      <c r="C15" s="979"/>
      <c r="D15" s="979"/>
      <c r="E15" s="979"/>
      <c r="F15" s="979"/>
      <c r="H15" s="1014" t="s">
        <v>147</v>
      </c>
      <c r="I15" s="1015"/>
      <c r="J15" s="813" t="str">
        <f>IF(Durée_Totale_Vol_10&gt;Q12,"Erreur !",TEXT(Q13,"#0")&amp;" h et "&amp;TEXT(Q14,"#0")&amp;" mn")</f>
        <v>2 h et 37 mn</v>
      </c>
      <c r="K15" s="814"/>
      <c r="M15" s="1021" t="str">
        <f>IF(N24&gt;Carburant_utilisable_10,"DANGER - Total carburant insuffisant !","OK - Quantité de carburant suffisante")</f>
        <v>OK - Quantité de carburant suffisante</v>
      </c>
      <c r="N15" s="1022"/>
      <c r="O15" s="80"/>
      <c r="R15" s="1008" t="s">
        <v>135</v>
      </c>
      <c r="S15" s="1009"/>
      <c r="T15" s="1010"/>
      <c r="U15" s="518">
        <f>(U14/1.5)</f>
        <v>0.27502793494893413</v>
      </c>
      <c r="V15" s="528"/>
    </row>
    <row r="16" spans="2:32" ht="24.95" customHeight="1" thickTop="1" x14ac:dyDescent="0.2">
      <c r="B16" s="3"/>
      <c r="D16" s="953" t="str">
        <f>UPPER("Masse Totale :")</f>
        <v>MASSE TOTALE :</v>
      </c>
      <c r="E16" s="954"/>
      <c r="F16" s="553">
        <f>IF(Masse_Décollage_10&gt;Masse_Max_au_Décollage_Autorisée_10,"DANGER",Masse_Décollage_10)</f>
        <v>804.80000000000007</v>
      </c>
      <c r="H16" s="1005" t="s">
        <v>21</v>
      </c>
      <c r="I16" s="1006"/>
      <c r="J16" s="1007"/>
      <c r="K16" s="446">
        <v>60</v>
      </c>
      <c r="M16" s="417" t="s">
        <v>102</v>
      </c>
      <c r="N16" s="653">
        <f>Durée_Totale_Vol_10*Consommation_minute_10</f>
        <v>42</v>
      </c>
      <c r="O16" s="81"/>
      <c r="P16" s="70" t="s">
        <v>141</v>
      </c>
      <c r="R16" s="942" t="str">
        <f>IF(S12=Réserve_Finale_10,"Le carburant restant dans le réservoir principal correspond à la réserve finale","")</f>
        <v/>
      </c>
      <c r="S16" s="942"/>
      <c r="T16" s="942"/>
      <c r="U16" s="942"/>
      <c r="V16" s="942"/>
    </row>
    <row r="17" spans="2:25" ht="24.95" customHeight="1" thickBot="1" x14ac:dyDescent="0.25">
      <c r="B17" s="3"/>
      <c r="D17" s="958" t="s">
        <v>132</v>
      </c>
      <c r="E17" s="959"/>
      <c r="F17" s="504">
        <f>Pourc_MAC_Décollage_10</f>
        <v>0.26016169648774018</v>
      </c>
      <c r="H17" s="970" t="s">
        <v>22</v>
      </c>
      <c r="I17" s="971"/>
      <c r="J17" s="972"/>
      <c r="K17" s="447">
        <v>1</v>
      </c>
      <c r="M17" s="417" t="s">
        <v>103</v>
      </c>
      <c r="N17" s="653">
        <f>Nbre_Aérodromes_10*(Consommation_minute_10*10)</f>
        <v>7</v>
      </c>
      <c r="O17" s="586"/>
      <c r="P17" s="14" t="s">
        <v>122</v>
      </c>
      <c r="Q17" s="589">
        <f>Carburant_Bloc_10/Durée_Totale_Vol_10</f>
        <v>1.2833333333333334</v>
      </c>
      <c r="R17" s="581"/>
      <c r="S17" s="580" t="s">
        <v>236</v>
      </c>
      <c r="T17" s="580" t="s">
        <v>33</v>
      </c>
      <c r="U17" s="580" t="s">
        <v>234</v>
      </c>
      <c r="V17" s="580" t="s">
        <v>233</v>
      </c>
      <c r="W17" s="580" t="s">
        <v>235</v>
      </c>
      <c r="X17" s="580" t="s">
        <v>237</v>
      </c>
      <c r="Y17" s="580" t="s">
        <v>240</v>
      </c>
    </row>
    <row r="18" spans="2:25" ht="24.95" customHeight="1" thickBot="1" x14ac:dyDescent="0.25">
      <c r="B18" s="979" t="str">
        <f>IF(Masse_Décollage_10&gt;Masse_Max_au_Décollage_Autorisée_10,"* ATTENTION ! La masse max au décollage est dépassée !","")</f>
        <v/>
      </c>
      <c r="C18" s="979"/>
      <c r="D18" s="979"/>
      <c r="E18" s="979"/>
      <c r="F18" s="979"/>
      <c r="H18" s="979" t="str">
        <f>IF(Catégorie_10="Catégorie A",IF(Pourc_MAC_Décollage_10&gt;V31,"* DANGER : Avion hors centrage arrière, INTERDICTION de décoller !",""),IF(Pourc_MAC_Atterrissage_10&gt;V37,"* DANGER : Avion hors centrage arrière, INTERDICTION de décoller !",""))</f>
        <v/>
      </c>
      <c r="I18" s="979"/>
      <c r="J18" s="979"/>
      <c r="K18" s="979"/>
      <c r="M18" s="452" t="s">
        <v>143</v>
      </c>
      <c r="N18" s="649">
        <f>SUM(N16:N17)</f>
        <v>49</v>
      </c>
      <c r="O18" s="586"/>
      <c r="P18" s="14" t="s">
        <v>25</v>
      </c>
      <c r="Q18" s="18">
        <f>Q11</f>
        <v>110</v>
      </c>
      <c r="R18" s="581" t="s">
        <v>238</v>
      </c>
      <c r="S18" s="582">
        <v>72</v>
      </c>
      <c r="T18" s="579">
        <f>Carburant_Principal_10</f>
        <v>60</v>
      </c>
      <c r="U18" s="583">
        <f>1-V18</f>
        <v>0.16666666666666663</v>
      </c>
      <c r="V18" s="583">
        <f>T18/S18</f>
        <v>0.83333333333333337</v>
      </c>
      <c r="W18" s="584">
        <v>0.2</v>
      </c>
      <c r="X18" s="584">
        <v>0.2</v>
      </c>
      <c r="Y18" s="584">
        <v>0.2</v>
      </c>
    </row>
    <row r="19" spans="2:25" ht="24.95" customHeight="1" thickBot="1" x14ac:dyDescent="0.25">
      <c r="B19" s="967" t="s">
        <v>30</v>
      </c>
      <c r="C19" s="968"/>
      <c r="D19" s="968"/>
      <c r="E19" s="968"/>
      <c r="F19" s="969"/>
      <c r="L19" s="449"/>
      <c r="M19" s="533" t="s">
        <v>43</v>
      </c>
      <c r="N19" s="271" t="s">
        <v>14</v>
      </c>
      <c r="O19" s="586"/>
      <c r="P19" s="14" t="s">
        <v>26</v>
      </c>
      <c r="Q19" s="592">
        <f>Q18/Q17</f>
        <v>85.714285714285708</v>
      </c>
      <c r="R19" s="581"/>
      <c r="S19" s="580" t="s">
        <v>236</v>
      </c>
      <c r="T19" s="580" t="s">
        <v>33</v>
      </c>
      <c r="U19" s="580" t="s">
        <v>234</v>
      </c>
      <c r="V19" s="580" t="s">
        <v>233</v>
      </c>
      <c r="W19" s="580" t="s">
        <v>235</v>
      </c>
      <c r="X19" s="580" t="s">
        <v>237</v>
      </c>
      <c r="Y19" s="580" t="s">
        <v>240</v>
      </c>
    </row>
    <row r="20" spans="2:25" ht="24.95" customHeight="1" thickBot="1" x14ac:dyDescent="0.25">
      <c r="B20" s="913" t="s">
        <v>87</v>
      </c>
      <c r="C20" s="914"/>
      <c r="D20" s="279" t="s">
        <v>33</v>
      </c>
      <c r="E20" s="905" t="s">
        <v>34</v>
      </c>
      <c r="F20" s="906"/>
      <c r="M20" s="417" t="s">
        <v>144</v>
      </c>
      <c r="N20" s="652">
        <f>IF(Durée_Totale_Vol_10&gt;0,IF(N19="Jour",Consommation_minute_10*30,Consommation_minute_10*45),0)</f>
        <v>21</v>
      </c>
      <c r="O20" s="586"/>
      <c r="P20" s="14" t="s">
        <v>27</v>
      </c>
      <c r="Q20" s="592">
        <f>ROUNDDOWN(Q19/60,0)</f>
        <v>1</v>
      </c>
      <c r="R20" s="581" t="s">
        <v>239</v>
      </c>
      <c r="S20" s="582">
        <v>78</v>
      </c>
      <c r="T20" s="579">
        <f>IF(Catégorie_10="Catégorie U",Carburant_Secondaire_10,0)</f>
        <v>50</v>
      </c>
      <c r="U20" s="583">
        <f>1-V20</f>
        <v>0.35897435897435892</v>
      </c>
      <c r="V20" s="583">
        <f>T20/S20</f>
        <v>0.64102564102564108</v>
      </c>
      <c r="W20" s="584">
        <v>0.2</v>
      </c>
      <c r="X20" s="584">
        <v>0.2</v>
      </c>
      <c r="Y20" s="584">
        <v>0.2</v>
      </c>
    </row>
    <row r="21" spans="2:25" ht="24.95" customHeight="1" x14ac:dyDescent="0.2">
      <c r="B21" s="376" t="s">
        <v>31</v>
      </c>
      <c r="C21" s="435">
        <f>IF($E$4="Catégorie A",760,830)</f>
        <v>830</v>
      </c>
      <c r="D21" s="435">
        <f>Masse_Décollage_10</f>
        <v>804.80000000000007</v>
      </c>
      <c r="E21" s="993" t="str">
        <f>IF(D21&lt;=Masse_Max_au_Décollage_Autorisée_10,"Ok !","DANGER !")</f>
        <v>Ok !</v>
      </c>
      <c r="F21" s="994"/>
      <c r="M21" s="1024" t="str">
        <f>IF(N19="Jour","** Réserve finale de carburant de 30 mn","** Réserve finale de carburant de 45 mn")</f>
        <v>** Réserve finale de carburant de 30 mn</v>
      </c>
      <c r="N21" s="1025"/>
      <c r="O21" s="586"/>
      <c r="P21" s="14" t="s">
        <v>28</v>
      </c>
      <c r="Q21" s="592">
        <f>Q19-(Q20*60)</f>
        <v>25.714285714285708</v>
      </c>
      <c r="R21" s="581"/>
      <c r="S21" s="579">
        <f>Capacité_carburant_Max_10-Carburant_utilisable_10</f>
        <v>0</v>
      </c>
      <c r="T21" s="599"/>
      <c r="U21" s="597"/>
      <c r="V21" s="49"/>
      <c r="W21" s="49"/>
      <c r="X21" s="49"/>
      <c r="Y21" s="49"/>
    </row>
    <row r="22" spans="2:25" ht="24.95" customHeight="1" thickBot="1" x14ac:dyDescent="0.25">
      <c r="B22" s="262" t="s">
        <v>32</v>
      </c>
      <c r="C22" s="266">
        <f>IF($E$4="Catégorie A",760,800)</f>
        <v>800</v>
      </c>
      <c r="D22" s="266">
        <f>Masse_Décollage_10-(N24*Densité_Carburant_10)</f>
        <v>749.36000000000013</v>
      </c>
      <c r="E22" s="817" t="str">
        <f>IF(D22&lt;=Masse_Max_Atterrissage_Autorisée_10,"Ok !","DANGER !")</f>
        <v>Ok !</v>
      </c>
      <c r="F22" s="818"/>
      <c r="M22" s="417" t="s">
        <v>145</v>
      </c>
      <c r="N22" s="653">
        <f>(Consommation_horaire_10/60)*10</f>
        <v>7</v>
      </c>
      <c r="O22" s="588"/>
      <c r="P22" s="14"/>
      <c r="Q22" s="18"/>
      <c r="R22" s="10"/>
      <c r="S22" s="10"/>
      <c r="T22" s="10"/>
      <c r="U22" s="10"/>
      <c r="V22" s="10"/>
      <c r="W22" s="10"/>
      <c r="X22" s="10"/>
    </row>
    <row r="23" spans="2:25" ht="24.95" customHeight="1" thickBot="1" x14ac:dyDescent="0.25">
      <c r="B23" s="1023" t="s">
        <v>137</v>
      </c>
      <c r="C23" s="1023"/>
      <c r="D23" s="1023"/>
      <c r="E23" s="1023"/>
      <c r="F23" s="1023"/>
      <c r="M23" s="519" t="s">
        <v>254</v>
      </c>
      <c r="N23" s="520">
        <f>((Délestage_10+Carburant_Roulage_10)-Carburant_Destination_10)/Carburant_Destination_10</f>
        <v>0.33333333333333331</v>
      </c>
      <c r="O23" s="586"/>
      <c r="P23" s="596" t="s">
        <v>129</v>
      </c>
      <c r="Q23" s="596" t="s">
        <v>130</v>
      </c>
      <c r="R23" s="45" t="s">
        <v>142</v>
      </c>
      <c r="S23" s="10"/>
      <c r="T23" s="10"/>
      <c r="U23" s="10"/>
      <c r="V23" s="10"/>
      <c r="W23" s="10"/>
      <c r="X23" s="10"/>
    </row>
    <row r="24" spans="2:25" ht="24.95" customHeight="1" thickBot="1" x14ac:dyDescent="0.25">
      <c r="B24" s="10" t="s">
        <v>74</v>
      </c>
      <c r="C24" s="29">
        <f>Masse_Max_au_Décollage_Autorisée_10-D21</f>
        <v>25.199999999999932</v>
      </c>
      <c r="M24" s="301" t="str">
        <f>UPPER("Carburant au bloc :")</f>
        <v>CARBURANT AU BLOC :</v>
      </c>
      <c r="N24" s="643">
        <f>Délestage_10+Réserve_Finale_10+Carburant_Roulage_10</f>
        <v>77</v>
      </c>
      <c r="O24" s="590"/>
      <c r="P24" s="14" t="s">
        <v>123</v>
      </c>
      <c r="Q24" s="14" t="s">
        <v>131</v>
      </c>
      <c r="R24" s="46" t="s">
        <v>100</v>
      </c>
      <c r="S24" s="48">
        <f>C21</f>
        <v>830</v>
      </c>
      <c r="T24" s="10">
        <v>356.4</v>
      </c>
      <c r="U24" s="10"/>
      <c r="V24" s="10"/>
      <c r="W24" s="10"/>
      <c r="X24" s="10"/>
    </row>
    <row r="25" spans="2:25" ht="24.95" customHeight="1" x14ac:dyDescent="0.2">
      <c r="M25" s="230" t="s">
        <v>139</v>
      </c>
      <c r="N25" s="652">
        <f>((Carburant_Bloc_10)/Durée_Totale_Vol_10)*60</f>
        <v>77</v>
      </c>
      <c r="O25" s="14"/>
      <c r="P25" s="14"/>
      <c r="Q25" s="18"/>
      <c r="R25" s="46" t="s">
        <v>101</v>
      </c>
      <c r="S25" s="48">
        <f>Masse_à_vide_10</f>
        <v>565.6</v>
      </c>
      <c r="T25" s="10">
        <v>265</v>
      </c>
      <c r="U25" s="10"/>
      <c r="V25" s="10"/>
      <c r="W25" s="10"/>
      <c r="X25" s="10"/>
    </row>
    <row r="26" spans="2:25" ht="24.95" customHeight="1" x14ac:dyDescent="0.2">
      <c r="M26" s="454" t="s">
        <v>148</v>
      </c>
      <c r="N26" s="653">
        <f>IF(Catégorie_10="Catégorie A",Carburant_Principal_10-Carburant_Bloc_10,(Carburant_Principal_10+Carburant_Secondaire_10)-Carburant_Bloc_10)</f>
        <v>33</v>
      </c>
      <c r="O26" s="588"/>
      <c r="P26" s="595" t="s">
        <v>93</v>
      </c>
      <c r="Q26" s="14"/>
      <c r="R26" s="10"/>
      <c r="S26" s="10"/>
      <c r="T26" s="46"/>
      <c r="U26" s="10"/>
      <c r="V26" s="10"/>
      <c r="W26" s="10"/>
      <c r="X26" s="10"/>
    </row>
    <row r="27" spans="2:25" ht="24.95" customHeight="1" thickBot="1" x14ac:dyDescent="0.25">
      <c r="L27" s="12"/>
      <c r="M27" s="262" t="s">
        <v>263</v>
      </c>
      <c r="N27" s="654">
        <f>(Carburant_utilisable_10)-Carburant_Bloc_10</f>
        <v>33</v>
      </c>
      <c r="O27" s="588"/>
      <c r="P27" s="14" t="s">
        <v>89</v>
      </c>
      <c r="Q27" s="591">
        <f>Masse_Décollage_10</f>
        <v>804.80000000000007</v>
      </c>
      <c r="R27" s="54" t="s">
        <v>133</v>
      </c>
      <c r="S27" s="10"/>
      <c r="T27" s="46"/>
      <c r="U27" s="10"/>
      <c r="V27" s="10" t="s">
        <v>134</v>
      </c>
      <c r="W27" s="10"/>
      <c r="X27" s="10"/>
    </row>
    <row r="28" spans="2:25" ht="24.95" customHeight="1" x14ac:dyDescent="0.2">
      <c r="O28" s="588"/>
      <c r="P28" s="14" t="s">
        <v>90</v>
      </c>
      <c r="Q28" s="591">
        <f>J12</f>
        <v>749.36</v>
      </c>
      <c r="R28" s="26" t="s">
        <v>86</v>
      </c>
      <c r="S28" s="10"/>
      <c r="T28" s="10"/>
      <c r="U28" s="10"/>
      <c r="V28" s="55">
        <v>0.2</v>
      </c>
      <c r="W28" s="10"/>
      <c r="X28" s="10"/>
    </row>
    <row r="29" spans="2:25" ht="24.95" customHeight="1" x14ac:dyDescent="0.2">
      <c r="O29" s="588"/>
      <c r="P29" s="14"/>
      <c r="Q29" s="18"/>
      <c r="R29" s="26" t="s">
        <v>81</v>
      </c>
      <c r="S29" s="10"/>
      <c r="T29" s="10"/>
      <c r="U29" s="10"/>
      <c r="V29" s="55">
        <v>0.2</v>
      </c>
      <c r="W29" s="10"/>
      <c r="X29" s="10"/>
    </row>
    <row r="30" spans="2:25" ht="24.95" customHeight="1" x14ac:dyDescent="0.2">
      <c r="O30" s="588"/>
      <c r="P30" s="14"/>
      <c r="Q30" s="18"/>
      <c r="R30" s="26" t="s">
        <v>82</v>
      </c>
      <c r="S30" s="10"/>
      <c r="T30" s="10"/>
      <c r="U30" s="10"/>
      <c r="V30" s="55">
        <v>0.26</v>
      </c>
      <c r="W30" s="10"/>
      <c r="X30" s="10"/>
    </row>
    <row r="31" spans="2:25" ht="24.95" customHeight="1" x14ac:dyDescent="0.2">
      <c r="O31" s="588"/>
      <c r="P31" s="14"/>
      <c r="Q31" s="18"/>
      <c r="R31" s="26" t="s">
        <v>83</v>
      </c>
      <c r="S31" s="10"/>
      <c r="T31" s="10"/>
      <c r="U31" s="10"/>
      <c r="V31" s="55">
        <v>0.26</v>
      </c>
      <c r="W31" s="10"/>
      <c r="X31" s="10"/>
    </row>
    <row r="32" spans="2:25" ht="24.95" customHeight="1" x14ac:dyDescent="0.2">
      <c r="O32" s="588"/>
      <c r="P32" s="14"/>
      <c r="Q32" s="18"/>
      <c r="R32" s="10"/>
      <c r="S32" s="10"/>
      <c r="T32" s="10"/>
      <c r="U32" s="10"/>
      <c r="V32" s="10"/>
      <c r="W32" s="10"/>
      <c r="X32" s="10"/>
    </row>
    <row r="33" spans="10:24" ht="24.95" customHeight="1" x14ac:dyDescent="0.2">
      <c r="O33" s="588"/>
      <c r="P33" s="14"/>
      <c r="Q33" s="18"/>
      <c r="R33" s="54" t="s">
        <v>125</v>
      </c>
      <c r="S33" s="10"/>
      <c r="T33" s="11" t="s">
        <v>106</v>
      </c>
      <c r="U33" s="10" t="s">
        <v>105</v>
      </c>
      <c r="V33" s="10" t="s">
        <v>134</v>
      </c>
      <c r="W33" s="10" t="s">
        <v>2</v>
      </c>
      <c r="X33" s="10"/>
    </row>
    <row r="34" spans="10:24" ht="24.95" customHeight="1" x14ac:dyDescent="0.2">
      <c r="O34" s="588"/>
      <c r="P34" s="14"/>
      <c r="Q34" s="18"/>
      <c r="R34" s="26" t="s">
        <v>86</v>
      </c>
      <c r="S34" s="56">
        <v>180</v>
      </c>
      <c r="T34" s="27">
        <f>Masse_à_vide_10</f>
        <v>565.6</v>
      </c>
      <c r="U34" s="47">
        <f>S34/T34</f>
        <v>0.31824611032531824</v>
      </c>
      <c r="V34" s="55">
        <v>0.18</v>
      </c>
      <c r="W34" s="27">
        <f>F7</f>
        <v>174.20480000000001</v>
      </c>
      <c r="X34" s="10"/>
    </row>
    <row r="35" spans="10:24" ht="24.95" customHeight="1" x14ac:dyDescent="0.2">
      <c r="O35" s="588"/>
      <c r="P35" s="14"/>
      <c r="Q35" s="18"/>
      <c r="R35" s="26" t="s">
        <v>81</v>
      </c>
      <c r="S35" s="56">
        <v>180</v>
      </c>
      <c r="T35" s="27">
        <v>830</v>
      </c>
      <c r="U35" s="47">
        <f>S35/T35</f>
        <v>0.21686746987951808</v>
      </c>
      <c r="V35" s="55">
        <v>0.18</v>
      </c>
      <c r="W35" s="27">
        <f>F7</f>
        <v>174.20480000000001</v>
      </c>
      <c r="X35" s="10"/>
    </row>
    <row r="36" spans="10:24" ht="24.95" customHeight="1" x14ac:dyDescent="0.2">
      <c r="O36" s="588"/>
      <c r="P36" s="14"/>
      <c r="Q36" s="18"/>
      <c r="R36" s="26" t="s">
        <v>82</v>
      </c>
      <c r="S36" s="56">
        <v>300</v>
      </c>
      <c r="T36" s="27">
        <v>830</v>
      </c>
      <c r="U36" s="47">
        <f>S36/T36</f>
        <v>0.36144578313253012</v>
      </c>
      <c r="V36" s="55">
        <v>0.3</v>
      </c>
      <c r="W36" s="27">
        <v>260</v>
      </c>
      <c r="X36" s="10"/>
    </row>
    <row r="37" spans="10:24" ht="24.95" customHeight="1" x14ac:dyDescent="0.2">
      <c r="O37" s="588"/>
      <c r="P37" s="14"/>
      <c r="Q37" s="18"/>
      <c r="R37" s="26" t="s">
        <v>83</v>
      </c>
      <c r="S37" s="56">
        <v>300</v>
      </c>
      <c r="T37" s="27">
        <f>Masse_à_vide_10</f>
        <v>565.6</v>
      </c>
      <c r="U37" s="47">
        <f>S37/T37</f>
        <v>0.53041018387553041</v>
      </c>
      <c r="V37" s="55">
        <v>0.3</v>
      </c>
      <c r="W37" s="27">
        <v>260</v>
      </c>
      <c r="X37" s="10"/>
    </row>
    <row r="38" spans="10:24" ht="24.95" customHeight="1" x14ac:dyDescent="0.2">
      <c r="M38" s="119"/>
      <c r="N38" s="117"/>
      <c r="O38" s="588"/>
      <c r="P38" s="14"/>
      <c r="Q38" s="18"/>
      <c r="R38" s="10"/>
      <c r="S38" s="10"/>
      <c r="T38" s="10"/>
      <c r="U38" s="10"/>
      <c r="V38" s="10"/>
      <c r="W38" s="10"/>
      <c r="X38" s="10"/>
    </row>
    <row r="39" spans="10:24" ht="24.95" customHeight="1" x14ac:dyDescent="0.2">
      <c r="M39" s="119"/>
      <c r="N39" s="117"/>
      <c r="O39" s="588"/>
      <c r="P39" s="14"/>
      <c r="Q39" s="18"/>
      <c r="R39" s="10"/>
      <c r="S39" s="10"/>
      <c r="T39" s="10"/>
      <c r="U39" s="10"/>
      <c r="V39" s="10"/>
      <c r="W39" s="10"/>
      <c r="X39" s="10"/>
    </row>
    <row r="40" spans="10:24" ht="24.95" customHeight="1" x14ac:dyDescent="0.2">
      <c r="M40" s="119"/>
      <c r="N40" s="117"/>
      <c r="O40" s="588"/>
      <c r="P40" s="14"/>
      <c r="Q40" s="18"/>
      <c r="R40" s="10"/>
      <c r="S40" s="10"/>
      <c r="T40" s="10"/>
      <c r="U40" s="10"/>
      <c r="V40" s="10"/>
      <c r="W40" s="10"/>
      <c r="X40" s="10"/>
    </row>
    <row r="41" spans="10:24" ht="24.95" customHeight="1" thickBot="1" x14ac:dyDescent="0.25">
      <c r="M41" s="667"/>
      <c r="N41" s="668"/>
      <c r="O41" s="588"/>
      <c r="P41" s="14"/>
      <c r="Q41" s="18"/>
    </row>
    <row r="42" spans="10:24" ht="24.95" customHeight="1" x14ac:dyDescent="0.2">
      <c r="M42" s="985" t="s">
        <v>18</v>
      </c>
      <c r="N42" s="986"/>
      <c r="O42" s="588"/>
      <c r="P42" s="14"/>
      <c r="Q42" s="18"/>
    </row>
    <row r="43" spans="10:24" ht="24.95" customHeight="1" x14ac:dyDescent="0.2">
      <c r="J43" s="14"/>
      <c r="K43" s="14"/>
      <c r="L43" s="14"/>
      <c r="M43" s="439"/>
      <c r="N43" s="440"/>
      <c r="O43" s="588"/>
      <c r="P43" s="14"/>
      <c r="Q43" s="18"/>
      <c r="R43" s="14"/>
    </row>
    <row r="44" spans="10:24" ht="24.95" customHeight="1" x14ac:dyDescent="0.2">
      <c r="J44" s="14"/>
      <c r="K44" s="14"/>
      <c r="L44" s="14"/>
      <c r="M44" s="441"/>
      <c r="N44" s="442"/>
      <c r="O44" s="588"/>
      <c r="P44" s="14"/>
      <c r="Q44" s="18"/>
      <c r="R44" s="14"/>
      <c r="S44" s="14"/>
      <c r="T44" s="14"/>
      <c r="U44" s="14"/>
      <c r="V44" s="14"/>
    </row>
    <row r="45" spans="10:24" ht="24.95" customHeight="1" x14ac:dyDescent="0.2">
      <c r="J45" s="14"/>
      <c r="K45" s="14"/>
      <c r="L45" s="14"/>
      <c r="M45" s="441"/>
      <c r="N45" s="442"/>
      <c r="O45" s="588"/>
      <c r="P45" s="14"/>
      <c r="Q45" s="18"/>
      <c r="R45" s="14"/>
      <c r="S45" s="14"/>
      <c r="T45" s="14"/>
      <c r="U45" s="14"/>
      <c r="V45" s="14"/>
    </row>
    <row r="46" spans="10:24" ht="24.95" customHeight="1" x14ac:dyDescent="0.2">
      <c r="J46" s="14"/>
      <c r="K46" s="14"/>
      <c r="L46" s="14"/>
      <c r="M46" s="441"/>
      <c r="N46" s="442"/>
      <c r="O46" s="588"/>
      <c r="P46" s="14"/>
      <c r="Q46" s="18"/>
      <c r="R46" s="14"/>
      <c r="S46" s="14"/>
      <c r="T46" s="14"/>
      <c r="U46" s="14"/>
      <c r="V46" s="14"/>
    </row>
    <row r="47" spans="10:24" ht="24.95" customHeight="1" x14ac:dyDescent="0.2">
      <c r="J47" s="14"/>
      <c r="K47" s="14"/>
      <c r="L47" s="14"/>
      <c r="M47" s="441"/>
      <c r="N47" s="442"/>
      <c r="O47" s="588"/>
      <c r="P47" s="14"/>
      <c r="Q47" s="18"/>
      <c r="R47" s="14"/>
      <c r="S47" s="14"/>
      <c r="T47" s="14"/>
      <c r="U47" s="14"/>
      <c r="V47" s="14"/>
    </row>
    <row r="48" spans="10:24" x14ac:dyDescent="0.2">
      <c r="J48" s="14"/>
      <c r="K48" s="14"/>
      <c r="L48" s="14"/>
      <c r="M48" s="441"/>
      <c r="N48" s="442"/>
      <c r="O48" s="588"/>
      <c r="P48" s="14"/>
      <c r="Q48" s="18"/>
      <c r="R48" s="14"/>
      <c r="S48" s="14"/>
      <c r="T48" s="14"/>
      <c r="U48" s="14"/>
      <c r="V48" s="14"/>
    </row>
    <row r="49" spans="10:22" ht="19.5" thickBot="1" x14ac:dyDescent="0.25">
      <c r="J49" s="14"/>
      <c r="K49" s="14"/>
      <c r="L49" s="675"/>
      <c r="M49" s="443"/>
      <c r="N49" s="444"/>
      <c r="O49" s="588"/>
      <c r="P49" s="14"/>
      <c r="Q49" s="18"/>
      <c r="R49" s="14"/>
      <c r="S49" s="14"/>
      <c r="T49" s="14"/>
      <c r="U49" s="14"/>
      <c r="V49" s="14"/>
    </row>
    <row r="50" spans="10:22" x14ac:dyDescent="0.2">
      <c r="J50" s="14"/>
      <c r="K50" s="14"/>
      <c r="L50" s="675"/>
      <c r="M50" s="14"/>
      <c r="N50" s="18"/>
      <c r="O50" s="588"/>
      <c r="P50" s="14"/>
      <c r="Q50" s="18"/>
      <c r="R50" s="14"/>
    </row>
    <row r="51" spans="10:22" x14ac:dyDescent="0.2">
      <c r="J51" s="14"/>
      <c r="K51" s="14"/>
      <c r="L51" s="14"/>
      <c r="M51" s="14"/>
      <c r="N51" s="18"/>
      <c r="O51" s="588"/>
      <c r="P51" s="14"/>
      <c r="Q51" s="18"/>
      <c r="R51" s="14"/>
    </row>
    <row r="52" spans="10:22" x14ac:dyDescent="0.2">
      <c r="J52" s="14"/>
      <c r="K52" s="14"/>
      <c r="L52" s="14"/>
      <c r="M52" s="14"/>
      <c r="N52" s="18"/>
      <c r="O52" s="588"/>
      <c r="P52" s="14"/>
      <c r="Q52" s="18"/>
      <c r="R52" s="14"/>
    </row>
    <row r="53" spans="10:22" x14ac:dyDescent="0.2">
      <c r="J53" s="14"/>
      <c r="K53" s="14"/>
      <c r="L53" s="14"/>
      <c r="M53" s="14"/>
      <c r="N53" s="18"/>
      <c r="O53" s="588"/>
      <c r="P53" s="14"/>
      <c r="Q53" s="18"/>
      <c r="R53" s="14"/>
    </row>
    <row r="54" spans="10:22" x14ac:dyDescent="0.2">
      <c r="J54" s="14"/>
      <c r="K54" s="14"/>
      <c r="L54" s="14"/>
      <c r="M54" s="14"/>
      <c r="N54" s="18"/>
      <c r="O54" s="588"/>
      <c r="P54" s="14"/>
      <c r="Q54" s="18"/>
      <c r="R54" s="14"/>
    </row>
    <row r="55" spans="10:22" x14ac:dyDescent="0.2">
      <c r="J55" s="14"/>
      <c r="K55" s="14"/>
      <c r="L55" s="14"/>
      <c r="M55" s="14"/>
      <c r="N55" s="18"/>
      <c r="O55" s="588"/>
      <c r="P55" s="14"/>
      <c r="Q55" s="18"/>
      <c r="R55" s="14"/>
    </row>
    <row r="56" spans="10:22" x14ac:dyDescent="0.2">
      <c r="J56" s="14"/>
      <c r="K56" s="14"/>
      <c r="L56" s="14"/>
      <c r="M56" s="14"/>
      <c r="N56" s="18"/>
      <c r="O56" s="588"/>
      <c r="P56" s="14"/>
      <c r="Q56" s="18"/>
      <c r="R56" s="14"/>
    </row>
    <row r="57" spans="10:22" x14ac:dyDescent="0.2">
      <c r="J57" s="14"/>
      <c r="K57" s="14"/>
      <c r="L57" s="14"/>
      <c r="M57" s="14"/>
      <c r="N57" s="18"/>
      <c r="O57" s="588"/>
      <c r="P57" s="14"/>
      <c r="Q57" s="18"/>
      <c r="R57" s="14"/>
    </row>
    <row r="58" spans="10:22" x14ac:dyDescent="0.2">
      <c r="J58" s="14"/>
      <c r="K58" s="14"/>
      <c r="L58" s="14"/>
      <c r="M58" s="14"/>
      <c r="N58" s="18"/>
      <c r="O58" s="588"/>
      <c r="P58" s="14"/>
      <c r="Q58" s="18"/>
      <c r="R58" s="14"/>
    </row>
    <row r="59" spans="10:22" x14ac:dyDescent="0.2">
      <c r="J59" s="14"/>
      <c r="K59" s="14"/>
      <c r="L59" s="14"/>
      <c r="M59" s="14"/>
      <c r="N59" s="18"/>
      <c r="O59" s="588"/>
      <c r="P59" s="14"/>
      <c r="Q59" s="18"/>
      <c r="R59" s="14"/>
    </row>
    <row r="60" spans="10:22" x14ac:dyDescent="0.2">
      <c r="J60" s="14"/>
      <c r="K60" s="14"/>
      <c r="L60" s="14"/>
      <c r="O60" s="588"/>
      <c r="P60" s="14"/>
      <c r="Q60" s="18"/>
      <c r="R60" s="14"/>
    </row>
  </sheetData>
  <sheetProtection algorithmName="SHA-512" hashValue="tvIY/zx+5GP99leFbZ/ishI8BffzoAOp7vgNq3MWz3vu0QmteLCvuLqXAiF6p9W6MEZXEv5WesOMGbgVN/BVwA==" saltValue="X4etPYd5n0uYPpIxFlfcxQ==" spinCount="100000" sheet="1" objects="1" scenarios="1" selectLockedCells="1"/>
  <mergeCells count="42">
    <mergeCell ref="M42:N42"/>
    <mergeCell ref="C4:D4"/>
    <mergeCell ref="E4:F4"/>
    <mergeCell ref="B14:D14"/>
    <mergeCell ref="H18:K18"/>
    <mergeCell ref="H17:J17"/>
    <mergeCell ref="M13:N13"/>
    <mergeCell ref="M14:N14"/>
    <mergeCell ref="B15:F15"/>
    <mergeCell ref="M15:N15"/>
    <mergeCell ref="D16:E16"/>
    <mergeCell ref="D17:E17"/>
    <mergeCell ref="H16:J16"/>
    <mergeCell ref="B23:F23"/>
    <mergeCell ref="M21:N21"/>
    <mergeCell ref="B19:F19"/>
    <mergeCell ref="R15:T15"/>
    <mergeCell ref="C5:F5"/>
    <mergeCell ref="H5:K5"/>
    <mergeCell ref="M5:N5"/>
    <mergeCell ref="B18:F18"/>
    <mergeCell ref="H15:I15"/>
    <mergeCell ref="J15:K15"/>
    <mergeCell ref="H13:K13"/>
    <mergeCell ref="R7:S7"/>
    <mergeCell ref="R16:V16"/>
    <mergeCell ref="H14:I14"/>
    <mergeCell ref="I3:J3"/>
    <mergeCell ref="M3:N3"/>
    <mergeCell ref="M4:N4"/>
    <mergeCell ref="B1:N1"/>
    <mergeCell ref="B2:C2"/>
    <mergeCell ref="D2:E2"/>
    <mergeCell ref="G2:H2"/>
    <mergeCell ref="I2:J2"/>
    <mergeCell ref="M2:N2"/>
    <mergeCell ref="E20:F20"/>
    <mergeCell ref="E21:F21"/>
    <mergeCell ref="E22:F22"/>
    <mergeCell ref="B20:C20"/>
    <mergeCell ref="B3:C3"/>
    <mergeCell ref="D3:F3"/>
  </mergeCells>
  <conditionalFormatting sqref="B10">
    <cfRule type="cellIs" dxfId="65" priority="22" operator="equal">
      <formula>"Pas de bagages !"</formula>
    </cfRule>
  </conditionalFormatting>
  <conditionalFormatting sqref="B15:F15">
    <cfRule type="cellIs" dxfId="64" priority="45" operator="equal">
      <formula>"* ATTENTION ! Le total carburant est supérieur à la capacité totale !"</formula>
    </cfRule>
  </conditionalFormatting>
  <conditionalFormatting sqref="B18:F18">
    <cfRule type="cellIs" dxfId="63" priority="44" operator="equal">
      <formula>"* ATTENTION ! La masse max au décollage est dépassée !"</formula>
    </cfRule>
  </conditionalFormatting>
  <conditionalFormatting sqref="C12">
    <cfRule type="expression" dxfId="62" priority="3">
      <formula>$R$6="Danger !"</formula>
    </cfRule>
  </conditionalFormatting>
  <conditionalFormatting sqref="C13">
    <cfRule type="cellIs" dxfId="61" priority="32" operator="greaterThan">
      <formula>120</formula>
    </cfRule>
  </conditionalFormatting>
  <conditionalFormatting sqref="D10">
    <cfRule type="expression" dxfId="60" priority="4">
      <formula>$B$10="Pas de bagages !"</formula>
    </cfRule>
    <cfRule type="cellIs" dxfId="59" priority="7" operator="greaterThan">
      <formula>50</formula>
    </cfRule>
    <cfRule type="expression" dxfId="58" priority="23">
      <formula>AND($B$10="Pas de bagages !",$D$10&gt;0)</formula>
    </cfRule>
  </conditionalFormatting>
  <conditionalFormatting sqref="D13">
    <cfRule type="cellIs" dxfId="57" priority="8" operator="greaterThan">
      <formula>$C$21</formula>
    </cfRule>
  </conditionalFormatting>
  <conditionalFormatting sqref="D21">
    <cfRule type="cellIs" dxfId="56" priority="35" operator="greaterThan">
      <formula>$C$21</formula>
    </cfRule>
  </conditionalFormatting>
  <conditionalFormatting sqref="D22">
    <cfRule type="cellIs" dxfId="55" priority="34" operator="greaterThan">
      <formula>$C$22</formula>
    </cfRule>
  </conditionalFormatting>
  <conditionalFormatting sqref="E21:E22">
    <cfRule type="cellIs" dxfId="54" priority="37" operator="equal">
      <formula>"Ok !"</formula>
    </cfRule>
    <cfRule type="cellIs" dxfId="53" priority="36" operator="equal">
      <formula>"DANGER !"</formula>
    </cfRule>
  </conditionalFormatting>
  <conditionalFormatting sqref="E4:F4">
    <cfRule type="cellIs" dxfId="52" priority="20" operator="equal">
      <formula>"Catégorie A"</formula>
    </cfRule>
  </conditionalFormatting>
  <conditionalFormatting sqref="F13:F14">
    <cfRule type="cellIs" dxfId="51" priority="31" operator="greaterThan">
      <formula>564</formula>
    </cfRule>
  </conditionalFormatting>
  <conditionalFormatting sqref="F16">
    <cfRule type="cellIs" dxfId="50" priority="54" operator="equal">
      <formula>"DANGER"</formula>
    </cfRule>
  </conditionalFormatting>
  <conditionalFormatting sqref="F17">
    <cfRule type="cellIs" dxfId="49" priority="50" operator="greaterThan">
      <formula>0.4471</formula>
    </cfRule>
  </conditionalFormatting>
  <conditionalFormatting sqref="H4">
    <cfRule type="cellIs" dxfId="48" priority="21" operator="equal">
      <formula>"CONFIGURATION VOLTIGE"</formula>
    </cfRule>
  </conditionalFormatting>
  <conditionalFormatting sqref="H18">
    <cfRule type="cellIs" dxfId="47" priority="43" operator="equal">
      <formula>"* DANGER : Avion hors centrage arrière, INTERDICTION de décoller !"</formula>
    </cfRule>
  </conditionalFormatting>
  <conditionalFormatting sqref="H13:K13">
    <cfRule type="cellIs" dxfId="46" priority="9" operator="equal">
      <formula>"* Minimum 1 aérodrome de destination"</formula>
    </cfRule>
  </conditionalFormatting>
  <conditionalFormatting sqref="J15">
    <cfRule type="cellIs" dxfId="45" priority="1" operator="equal">
      <formula>"Erreur !"</formula>
    </cfRule>
  </conditionalFormatting>
  <conditionalFormatting sqref="K17">
    <cfRule type="cellIs" dxfId="44" priority="10" operator="lessThanOrEqual">
      <formula>0</formula>
    </cfRule>
  </conditionalFormatting>
  <conditionalFormatting sqref="M9">
    <cfRule type="cellIs" dxfId="43" priority="18" operator="equal">
      <formula>"Réservoir AR vide en voltige !"</formula>
    </cfRule>
  </conditionalFormatting>
  <conditionalFormatting sqref="M15">
    <cfRule type="cellIs" dxfId="42" priority="52" operator="equal">
      <formula>"DANGER - Total carburant insuffisant !"</formula>
    </cfRule>
    <cfRule type="cellIs" dxfId="41" priority="55" operator="equal">
      <formula>"OK - Quantité de carburant suffisante"</formula>
    </cfRule>
  </conditionalFormatting>
  <conditionalFormatting sqref="M21">
    <cfRule type="cellIs" dxfId="40" priority="46" operator="equal">
      <formula>"** Réserve finale de carburant de 45 mn"</formula>
    </cfRule>
    <cfRule type="cellIs" dxfId="39" priority="47" operator="equal">
      <formula>"** Réserve finale de carburant de 30 mn"</formula>
    </cfRule>
  </conditionalFormatting>
  <conditionalFormatting sqref="M13:N13">
    <cfRule type="cellIs" dxfId="38" priority="38" operator="equal">
      <formula>"Capacité carburant Ok !"</formula>
    </cfRule>
    <cfRule type="cellIs" dxfId="37" priority="39" operator="equal">
      <formula>"ERREUR capacité carburant !"</formula>
    </cfRule>
    <cfRule type="cellIs" dxfId="36" priority="2" operator="equal">
      <formula>"Attention le réservoir secondaire doit être vide !"</formula>
    </cfRule>
  </conditionalFormatting>
  <conditionalFormatting sqref="N7">
    <cfRule type="cellIs" dxfId="35" priority="53" operator="greaterThan">
      <formula>160</formula>
    </cfRule>
  </conditionalFormatting>
  <conditionalFormatting sqref="N8">
    <cfRule type="cellIs" dxfId="34" priority="33" operator="greaterThan">
      <formula>72</formula>
    </cfRule>
  </conditionalFormatting>
  <conditionalFormatting sqref="N9">
    <cfRule type="cellIs" dxfId="33" priority="24" operator="greaterThan">
      <formula>78</formula>
    </cfRule>
    <cfRule type="expression" dxfId="32" priority="19">
      <formula>AND($E$4="Catégorie A",$N$9&gt;0)</formula>
    </cfRule>
  </conditionalFormatting>
  <conditionalFormatting sqref="N10">
    <cfRule type="cellIs" dxfId="31" priority="42" operator="greaterThan">
      <formula>160</formula>
    </cfRule>
  </conditionalFormatting>
  <conditionalFormatting sqref="N24">
    <cfRule type="expression" dxfId="30" priority="30">
      <formula>$N$24&gt;$N$10</formula>
    </cfRule>
  </conditionalFormatting>
  <conditionalFormatting sqref="N26:N27">
    <cfRule type="cellIs" dxfId="29" priority="12" operator="lessThan">
      <formula>0</formula>
    </cfRule>
  </conditionalFormatting>
  <conditionalFormatting sqref="S12:S13">
    <cfRule type="cellIs" dxfId="28" priority="5" operator="lessThan">
      <formula>0</formula>
    </cfRule>
  </conditionalFormatting>
  <dataValidations count="2">
    <dataValidation type="list" allowBlank="1" showInputMessage="1" showErrorMessage="1" sqref="N19" xr:uid="{E2F16DF4-1DBD-4F17-A38E-D183B981DAA4}">
      <formula1>$P$5:$P$6</formula1>
    </dataValidation>
    <dataValidation type="list" allowBlank="1" showInputMessage="1" showErrorMessage="1" sqref="E4:F4" xr:uid="{6CF56B63-388E-4726-B783-0953667B56D7}">
      <formula1>$P$23:$P$24</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4CA4-6887-483E-959C-E2A8A91FE0BE}">
  <sheetPr>
    <tabColor rgb="FF7030A0"/>
    <pageSetUpPr fitToPage="1"/>
  </sheetPr>
  <dimension ref="B1:AG52"/>
  <sheetViews>
    <sheetView showGridLines="0" topLeftCell="D1" zoomScale="85" zoomScaleNormal="85" workbookViewId="0">
      <pane ySplit="3" topLeftCell="A4" activePane="bottomLeft" state="frozenSplit"/>
      <selection activeCell="C3" sqref="C3:E3"/>
      <selection pane="bottomLeft" activeCell="N19" sqref="N19"/>
    </sheetView>
  </sheetViews>
  <sheetFormatPr baseColWidth="10" defaultRowHeight="21" x14ac:dyDescent="0.2"/>
  <cols>
    <col min="1" max="1" width="42.7109375" style="1" customWidth="1"/>
    <col min="2" max="2" width="32" style="1" customWidth="1"/>
    <col min="3" max="6" width="15.7109375" style="24"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4" customWidth="1"/>
    <col min="15" max="15" width="5.7109375" style="734" customWidth="1"/>
    <col min="16" max="16" width="47" style="9" hidden="1" customWidth="1"/>
    <col min="17" max="18" width="14.85546875" style="705" hidden="1" customWidth="1"/>
    <col min="19" max="19" width="47" style="67" bestFit="1" customWidth="1"/>
    <col min="20" max="20" width="16.7109375" style="68" customWidth="1"/>
    <col min="21" max="21" width="16.7109375" style="67" customWidth="1"/>
    <col min="22" max="22" width="18.5703125" style="67" bestFit="1" customWidth="1"/>
    <col min="23" max="23" width="23.7109375" style="67" customWidth="1"/>
    <col min="24" max="31" width="11.42578125" style="67"/>
    <col min="32" max="33" width="11.42578125" style="34"/>
    <col min="34" max="258" width="11.42578125" style="1"/>
    <col min="259" max="259" width="22.28515625" style="1" bestFit="1" customWidth="1"/>
    <col min="260" max="260" width="11.42578125" style="1"/>
    <col min="261" max="261" width="16" style="1" bestFit="1" customWidth="1"/>
    <col min="262" max="262" width="21.7109375" style="1" bestFit="1" customWidth="1"/>
    <col min="263" max="263" width="23.42578125" style="1" bestFit="1" customWidth="1"/>
    <col min="264" max="264" width="11.42578125" style="1"/>
    <col min="265" max="265" width="21.5703125" style="1" customWidth="1"/>
    <col min="266" max="267" width="11.42578125" style="1"/>
    <col min="268" max="268" width="12.85546875" style="1" bestFit="1" customWidth="1"/>
    <col min="269" max="269" width="11.42578125" style="1"/>
    <col min="270" max="270" width="27.7109375" style="1" bestFit="1" customWidth="1"/>
    <col min="271" max="271" width="12.28515625" style="1" bestFit="1" customWidth="1"/>
    <col min="272" max="514" width="11.42578125" style="1"/>
    <col min="515" max="515" width="22.28515625" style="1" bestFit="1" customWidth="1"/>
    <col min="516" max="516" width="11.42578125" style="1"/>
    <col min="517" max="517" width="16" style="1" bestFit="1" customWidth="1"/>
    <col min="518" max="518" width="21.7109375" style="1" bestFit="1" customWidth="1"/>
    <col min="519" max="519" width="23.42578125" style="1" bestFit="1" customWidth="1"/>
    <col min="520" max="520" width="11.42578125" style="1"/>
    <col min="521" max="521" width="21.5703125" style="1" customWidth="1"/>
    <col min="522" max="523" width="11.42578125" style="1"/>
    <col min="524" max="524" width="12.85546875" style="1" bestFit="1" customWidth="1"/>
    <col min="525" max="525" width="11.42578125" style="1"/>
    <col min="526" max="526" width="27.7109375" style="1" bestFit="1" customWidth="1"/>
    <col min="527" max="527" width="12.28515625" style="1" bestFit="1" customWidth="1"/>
    <col min="528" max="770" width="11.42578125" style="1"/>
    <col min="771" max="771" width="22.28515625" style="1" bestFit="1" customWidth="1"/>
    <col min="772" max="772" width="11.42578125" style="1"/>
    <col min="773" max="773" width="16" style="1" bestFit="1" customWidth="1"/>
    <col min="774" max="774" width="21.7109375" style="1" bestFit="1" customWidth="1"/>
    <col min="775" max="775" width="23.42578125" style="1" bestFit="1" customWidth="1"/>
    <col min="776" max="776" width="11.42578125" style="1"/>
    <col min="777" max="777" width="21.5703125" style="1" customWidth="1"/>
    <col min="778" max="779" width="11.42578125" style="1"/>
    <col min="780" max="780" width="12.85546875" style="1" bestFit="1" customWidth="1"/>
    <col min="781" max="781" width="11.42578125" style="1"/>
    <col min="782" max="782" width="27.7109375" style="1" bestFit="1" customWidth="1"/>
    <col min="783" max="783" width="12.28515625" style="1" bestFit="1" customWidth="1"/>
    <col min="784" max="1026" width="11.42578125" style="1"/>
    <col min="1027" max="1027" width="22.28515625" style="1" bestFit="1" customWidth="1"/>
    <col min="1028" max="1028" width="11.42578125" style="1"/>
    <col min="1029" max="1029" width="16" style="1" bestFit="1" customWidth="1"/>
    <col min="1030" max="1030" width="21.7109375" style="1" bestFit="1" customWidth="1"/>
    <col min="1031" max="1031" width="23.42578125" style="1" bestFit="1" customWidth="1"/>
    <col min="1032" max="1032" width="11.42578125" style="1"/>
    <col min="1033" max="1033" width="21.5703125" style="1" customWidth="1"/>
    <col min="1034" max="1035" width="11.42578125" style="1"/>
    <col min="1036" max="1036" width="12.85546875" style="1" bestFit="1" customWidth="1"/>
    <col min="1037" max="1037" width="11.42578125" style="1"/>
    <col min="1038" max="1038" width="27.7109375" style="1" bestFit="1" customWidth="1"/>
    <col min="1039" max="1039" width="12.28515625" style="1" bestFit="1" customWidth="1"/>
    <col min="1040" max="1282" width="11.42578125" style="1"/>
    <col min="1283" max="1283" width="22.28515625" style="1" bestFit="1" customWidth="1"/>
    <col min="1284" max="1284" width="11.42578125" style="1"/>
    <col min="1285" max="1285" width="16" style="1" bestFit="1" customWidth="1"/>
    <col min="1286" max="1286" width="21.7109375" style="1" bestFit="1" customWidth="1"/>
    <col min="1287" max="1287" width="23.42578125" style="1" bestFit="1" customWidth="1"/>
    <col min="1288" max="1288" width="11.42578125" style="1"/>
    <col min="1289" max="1289" width="21.5703125" style="1" customWidth="1"/>
    <col min="1290" max="1291" width="11.42578125" style="1"/>
    <col min="1292" max="1292" width="12.85546875" style="1" bestFit="1" customWidth="1"/>
    <col min="1293" max="1293" width="11.42578125" style="1"/>
    <col min="1294" max="1294" width="27.7109375" style="1" bestFit="1" customWidth="1"/>
    <col min="1295" max="1295" width="12.28515625" style="1" bestFit="1" customWidth="1"/>
    <col min="1296" max="1538" width="11.42578125" style="1"/>
    <col min="1539" max="1539" width="22.28515625" style="1" bestFit="1" customWidth="1"/>
    <col min="1540" max="1540" width="11.42578125" style="1"/>
    <col min="1541" max="1541" width="16" style="1" bestFit="1" customWidth="1"/>
    <col min="1542" max="1542" width="21.7109375" style="1" bestFit="1" customWidth="1"/>
    <col min="1543" max="1543" width="23.42578125" style="1" bestFit="1" customWidth="1"/>
    <col min="1544" max="1544" width="11.42578125" style="1"/>
    <col min="1545" max="1545" width="21.5703125" style="1" customWidth="1"/>
    <col min="1546" max="1547" width="11.42578125" style="1"/>
    <col min="1548" max="1548" width="12.85546875" style="1" bestFit="1" customWidth="1"/>
    <col min="1549" max="1549" width="11.42578125" style="1"/>
    <col min="1550" max="1550" width="27.7109375" style="1" bestFit="1" customWidth="1"/>
    <col min="1551" max="1551" width="12.28515625" style="1" bestFit="1" customWidth="1"/>
    <col min="1552" max="1794" width="11.42578125" style="1"/>
    <col min="1795" max="1795" width="22.28515625" style="1" bestFit="1" customWidth="1"/>
    <col min="1796" max="1796" width="11.42578125" style="1"/>
    <col min="1797" max="1797" width="16" style="1" bestFit="1" customWidth="1"/>
    <col min="1798" max="1798" width="21.7109375" style="1" bestFit="1" customWidth="1"/>
    <col min="1799" max="1799" width="23.42578125" style="1" bestFit="1" customWidth="1"/>
    <col min="1800" max="1800" width="11.42578125" style="1"/>
    <col min="1801" max="1801" width="21.5703125" style="1" customWidth="1"/>
    <col min="1802" max="1803" width="11.42578125" style="1"/>
    <col min="1804" max="1804" width="12.85546875" style="1" bestFit="1" customWidth="1"/>
    <col min="1805" max="1805" width="11.42578125" style="1"/>
    <col min="1806" max="1806" width="27.7109375" style="1" bestFit="1" customWidth="1"/>
    <col min="1807" max="1807" width="12.28515625" style="1" bestFit="1" customWidth="1"/>
    <col min="1808" max="2050" width="11.42578125" style="1"/>
    <col min="2051" max="2051" width="22.28515625" style="1" bestFit="1" customWidth="1"/>
    <col min="2052" max="2052" width="11.42578125" style="1"/>
    <col min="2053" max="2053" width="16" style="1" bestFit="1" customWidth="1"/>
    <col min="2054" max="2054" width="21.7109375" style="1" bestFit="1" customWidth="1"/>
    <col min="2055" max="2055" width="23.42578125" style="1" bestFit="1" customWidth="1"/>
    <col min="2056" max="2056" width="11.42578125" style="1"/>
    <col min="2057" max="2057" width="21.5703125" style="1" customWidth="1"/>
    <col min="2058" max="2059" width="11.42578125" style="1"/>
    <col min="2060" max="2060" width="12.85546875" style="1" bestFit="1" customWidth="1"/>
    <col min="2061" max="2061" width="11.42578125" style="1"/>
    <col min="2062" max="2062" width="27.7109375" style="1" bestFit="1" customWidth="1"/>
    <col min="2063" max="2063" width="12.28515625" style="1" bestFit="1" customWidth="1"/>
    <col min="2064" max="2306" width="11.42578125" style="1"/>
    <col min="2307" max="2307" width="22.28515625" style="1" bestFit="1" customWidth="1"/>
    <col min="2308" max="2308" width="11.42578125" style="1"/>
    <col min="2309" max="2309" width="16" style="1" bestFit="1" customWidth="1"/>
    <col min="2310" max="2310" width="21.7109375" style="1" bestFit="1" customWidth="1"/>
    <col min="2311" max="2311" width="23.42578125" style="1" bestFit="1" customWidth="1"/>
    <col min="2312" max="2312" width="11.42578125" style="1"/>
    <col min="2313" max="2313" width="21.5703125" style="1" customWidth="1"/>
    <col min="2314" max="2315" width="11.42578125" style="1"/>
    <col min="2316" max="2316" width="12.85546875" style="1" bestFit="1" customWidth="1"/>
    <col min="2317" max="2317" width="11.42578125" style="1"/>
    <col min="2318" max="2318" width="27.7109375" style="1" bestFit="1" customWidth="1"/>
    <col min="2319" max="2319" width="12.28515625" style="1" bestFit="1" customWidth="1"/>
    <col min="2320" max="2562" width="11.42578125" style="1"/>
    <col min="2563" max="2563" width="22.28515625" style="1" bestFit="1" customWidth="1"/>
    <col min="2564" max="2564" width="11.42578125" style="1"/>
    <col min="2565" max="2565" width="16" style="1" bestFit="1" customWidth="1"/>
    <col min="2566" max="2566" width="21.7109375" style="1" bestFit="1" customWidth="1"/>
    <col min="2567" max="2567" width="23.42578125" style="1" bestFit="1" customWidth="1"/>
    <col min="2568" max="2568" width="11.42578125" style="1"/>
    <col min="2569" max="2569" width="21.5703125" style="1" customWidth="1"/>
    <col min="2570" max="2571" width="11.42578125" style="1"/>
    <col min="2572" max="2572" width="12.85546875" style="1" bestFit="1" customWidth="1"/>
    <col min="2573" max="2573" width="11.42578125" style="1"/>
    <col min="2574" max="2574" width="27.7109375" style="1" bestFit="1" customWidth="1"/>
    <col min="2575" max="2575" width="12.28515625" style="1" bestFit="1" customWidth="1"/>
    <col min="2576" max="2818" width="11.42578125" style="1"/>
    <col min="2819" max="2819" width="22.28515625" style="1" bestFit="1" customWidth="1"/>
    <col min="2820" max="2820" width="11.42578125" style="1"/>
    <col min="2821" max="2821" width="16" style="1" bestFit="1" customWidth="1"/>
    <col min="2822" max="2822" width="21.7109375" style="1" bestFit="1" customWidth="1"/>
    <col min="2823" max="2823" width="23.42578125" style="1" bestFit="1" customWidth="1"/>
    <col min="2824" max="2824" width="11.42578125" style="1"/>
    <col min="2825" max="2825" width="21.5703125" style="1" customWidth="1"/>
    <col min="2826" max="2827" width="11.42578125" style="1"/>
    <col min="2828" max="2828" width="12.85546875" style="1" bestFit="1" customWidth="1"/>
    <col min="2829" max="2829" width="11.42578125" style="1"/>
    <col min="2830" max="2830" width="27.7109375" style="1" bestFit="1" customWidth="1"/>
    <col min="2831" max="2831" width="12.28515625" style="1" bestFit="1" customWidth="1"/>
    <col min="2832" max="3074" width="11.42578125" style="1"/>
    <col min="3075" max="3075" width="22.28515625" style="1" bestFit="1" customWidth="1"/>
    <col min="3076" max="3076" width="11.42578125" style="1"/>
    <col min="3077" max="3077" width="16" style="1" bestFit="1" customWidth="1"/>
    <col min="3078" max="3078" width="21.7109375" style="1" bestFit="1" customWidth="1"/>
    <col min="3079" max="3079" width="23.42578125" style="1" bestFit="1" customWidth="1"/>
    <col min="3080" max="3080" width="11.42578125" style="1"/>
    <col min="3081" max="3081" width="21.5703125" style="1" customWidth="1"/>
    <col min="3082" max="3083" width="11.42578125" style="1"/>
    <col min="3084" max="3084" width="12.85546875" style="1" bestFit="1" customWidth="1"/>
    <col min="3085" max="3085" width="11.42578125" style="1"/>
    <col min="3086" max="3086" width="27.7109375" style="1" bestFit="1" customWidth="1"/>
    <col min="3087" max="3087" width="12.28515625" style="1" bestFit="1" customWidth="1"/>
    <col min="3088" max="3330" width="11.42578125" style="1"/>
    <col min="3331" max="3331" width="22.28515625" style="1" bestFit="1" customWidth="1"/>
    <col min="3332" max="3332" width="11.42578125" style="1"/>
    <col min="3333" max="3333" width="16" style="1" bestFit="1" customWidth="1"/>
    <col min="3334" max="3334" width="21.7109375" style="1" bestFit="1" customWidth="1"/>
    <col min="3335" max="3335" width="23.42578125" style="1" bestFit="1" customWidth="1"/>
    <col min="3336" max="3336" width="11.42578125" style="1"/>
    <col min="3337" max="3337" width="21.5703125" style="1" customWidth="1"/>
    <col min="3338" max="3339" width="11.42578125" style="1"/>
    <col min="3340" max="3340" width="12.85546875" style="1" bestFit="1" customWidth="1"/>
    <col min="3341" max="3341" width="11.42578125" style="1"/>
    <col min="3342" max="3342" width="27.7109375" style="1" bestFit="1" customWidth="1"/>
    <col min="3343" max="3343" width="12.28515625" style="1" bestFit="1" customWidth="1"/>
    <col min="3344" max="3586" width="11.42578125" style="1"/>
    <col min="3587" max="3587" width="22.28515625" style="1" bestFit="1" customWidth="1"/>
    <col min="3588" max="3588" width="11.42578125" style="1"/>
    <col min="3589" max="3589" width="16" style="1" bestFit="1" customWidth="1"/>
    <col min="3590" max="3590" width="21.7109375" style="1" bestFit="1" customWidth="1"/>
    <col min="3591" max="3591" width="23.42578125" style="1" bestFit="1" customWidth="1"/>
    <col min="3592" max="3592" width="11.42578125" style="1"/>
    <col min="3593" max="3593" width="21.5703125" style="1" customWidth="1"/>
    <col min="3594" max="3595" width="11.42578125" style="1"/>
    <col min="3596" max="3596" width="12.85546875" style="1" bestFit="1" customWidth="1"/>
    <col min="3597" max="3597" width="11.42578125" style="1"/>
    <col min="3598" max="3598" width="27.7109375" style="1" bestFit="1" customWidth="1"/>
    <col min="3599" max="3599" width="12.28515625" style="1" bestFit="1" customWidth="1"/>
    <col min="3600" max="3842" width="11.42578125" style="1"/>
    <col min="3843" max="3843" width="22.28515625" style="1" bestFit="1" customWidth="1"/>
    <col min="3844" max="3844" width="11.42578125" style="1"/>
    <col min="3845" max="3845" width="16" style="1" bestFit="1" customWidth="1"/>
    <col min="3846" max="3846" width="21.7109375" style="1" bestFit="1" customWidth="1"/>
    <col min="3847" max="3847" width="23.42578125" style="1" bestFit="1" customWidth="1"/>
    <col min="3848" max="3848" width="11.42578125" style="1"/>
    <col min="3849" max="3849" width="21.5703125" style="1" customWidth="1"/>
    <col min="3850" max="3851" width="11.42578125" style="1"/>
    <col min="3852" max="3852" width="12.85546875" style="1" bestFit="1" customWidth="1"/>
    <col min="3853" max="3853" width="11.42578125" style="1"/>
    <col min="3854" max="3854" width="27.7109375" style="1" bestFit="1" customWidth="1"/>
    <col min="3855" max="3855" width="12.28515625" style="1" bestFit="1" customWidth="1"/>
    <col min="3856" max="4098" width="11.42578125" style="1"/>
    <col min="4099" max="4099" width="22.28515625" style="1" bestFit="1" customWidth="1"/>
    <col min="4100" max="4100" width="11.42578125" style="1"/>
    <col min="4101" max="4101" width="16" style="1" bestFit="1" customWidth="1"/>
    <col min="4102" max="4102" width="21.7109375" style="1" bestFit="1" customWidth="1"/>
    <col min="4103" max="4103" width="23.42578125" style="1" bestFit="1" customWidth="1"/>
    <col min="4104" max="4104" width="11.42578125" style="1"/>
    <col min="4105" max="4105" width="21.5703125" style="1" customWidth="1"/>
    <col min="4106" max="4107" width="11.42578125" style="1"/>
    <col min="4108" max="4108" width="12.85546875" style="1" bestFit="1" customWidth="1"/>
    <col min="4109" max="4109" width="11.42578125" style="1"/>
    <col min="4110" max="4110" width="27.7109375" style="1" bestFit="1" customWidth="1"/>
    <col min="4111" max="4111" width="12.28515625" style="1" bestFit="1" customWidth="1"/>
    <col min="4112" max="4354" width="11.42578125" style="1"/>
    <col min="4355" max="4355" width="22.28515625" style="1" bestFit="1" customWidth="1"/>
    <col min="4356" max="4356" width="11.42578125" style="1"/>
    <col min="4357" max="4357" width="16" style="1" bestFit="1" customWidth="1"/>
    <col min="4358" max="4358" width="21.7109375" style="1" bestFit="1" customWidth="1"/>
    <col min="4359" max="4359" width="23.42578125" style="1" bestFit="1" customWidth="1"/>
    <col min="4360" max="4360" width="11.42578125" style="1"/>
    <col min="4361" max="4361" width="21.5703125" style="1" customWidth="1"/>
    <col min="4362" max="4363" width="11.42578125" style="1"/>
    <col min="4364" max="4364" width="12.85546875" style="1" bestFit="1" customWidth="1"/>
    <col min="4365" max="4365" width="11.42578125" style="1"/>
    <col min="4366" max="4366" width="27.7109375" style="1" bestFit="1" customWidth="1"/>
    <col min="4367" max="4367" width="12.28515625" style="1" bestFit="1" customWidth="1"/>
    <col min="4368" max="4610" width="11.42578125" style="1"/>
    <col min="4611" max="4611" width="22.28515625" style="1" bestFit="1" customWidth="1"/>
    <col min="4612" max="4612" width="11.42578125" style="1"/>
    <col min="4613" max="4613" width="16" style="1" bestFit="1" customWidth="1"/>
    <col min="4614" max="4614" width="21.7109375" style="1" bestFit="1" customWidth="1"/>
    <col min="4615" max="4615" width="23.42578125" style="1" bestFit="1" customWidth="1"/>
    <col min="4616" max="4616" width="11.42578125" style="1"/>
    <col min="4617" max="4617" width="21.5703125" style="1" customWidth="1"/>
    <col min="4618" max="4619" width="11.42578125" style="1"/>
    <col min="4620" max="4620" width="12.85546875" style="1" bestFit="1" customWidth="1"/>
    <col min="4621" max="4621" width="11.42578125" style="1"/>
    <col min="4622" max="4622" width="27.7109375" style="1" bestFit="1" customWidth="1"/>
    <col min="4623" max="4623" width="12.28515625" style="1" bestFit="1" customWidth="1"/>
    <col min="4624" max="4866" width="11.42578125" style="1"/>
    <col min="4867" max="4867" width="22.28515625" style="1" bestFit="1" customWidth="1"/>
    <col min="4868" max="4868" width="11.42578125" style="1"/>
    <col min="4869" max="4869" width="16" style="1" bestFit="1" customWidth="1"/>
    <col min="4870" max="4870" width="21.7109375" style="1" bestFit="1" customWidth="1"/>
    <col min="4871" max="4871" width="23.42578125" style="1" bestFit="1" customWidth="1"/>
    <col min="4872" max="4872" width="11.42578125" style="1"/>
    <col min="4873" max="4873" width="21.5703125" style="1" customWidth="1"/>
    <col min="4874" max="4875" width="11.42578125" style="1"/>
    <col min="4876" max="4876" width="12.85546875" style="1" bestFit="1" customWidth="1"/>
    <col min="4877" max="4877" width="11.42578125" style="1"/>
    <col min="4878" max="4878" width="27.7109375" style="1" bestFit="1" customWidth="1"/>
    <col min="4879" max="4879" width="12.28515625" style="1" bestFit="1" customWidth="1"/>
    <col min="4880" max="5122" width="11.42578125" style="1"/>
    <col min="5123" max="5123" width="22.28515625" style="1" bestFit="1" customWidth="1"/>
    <col min="5124" max="5124" width="11.42578125" style="1"/>
    <col min="5125" max="5125" width="16" style="1" bestFit="1" customWidth="1"/>
    <col min="5126" max="5126" width="21.7109375" style="1" bestFit="1" customWidth="1"/>
    <col min="5127" max="5127" width="23.42578125" style="1" bestFit="1" customWidth="1"/>
    <col min="5128" max="5128" width="11.42578125" style="1"/>
    <col min="5129" max="5129" width="21.5703125" style="1" customWidth="1"/>
    <col min="5130" max="5131" width="11.42578125" style="1"/>
    <col min="5132" max="5132" width="12.85546875" style="1" bestFit="1" customWidth="1"/>
    <col min="5133" max="5133" width="11.42578125" style="1"/>
    <col min="5134" max="5134" width="27.7109375" style="1" bestFit="1" customWidth="1"/>
    <col min="5135" max="5135" width="12.28515625" style="1" bestFit="1" customWidth="1"/>
    <col min="5136" max="5378" width="11.42578125" style="1"/>
    <col min="5379" max="5379" width="22.28515625" style="1" bestFit="1" customWidth="1"/>
    <col min="5380" max="5380" width="11.42578125" style="1"/>
    <col min="5381" max="5381" width="16" style="1" bestFit="1" customWidth="1"/>
    <col min="5382" max="5382" width="21.7109375" style="1" bestFit="1" customWidth="1"/>
    <col min="5383" max="5383" width="23.42578125" style="1" bestFit="1" customWidth="1"/>
    <col min="5384" max="5384" width="11.42578125" style="1"/>
    <col min="5385" max="5385" width="21.5703125" style="1" customWidth="1"/>
    <col min="5386" max="5387" width="11.42578125" style="1"/>
    <col min="5388" max="5388" width="12.85546875" style="1" bestFit="1" customWidth="1"/>
    <col min="5389" max="5389" width="11.42578125" style="1"/>
    <col min="5390" max="5390" width="27.7109375" style="1" bestFit="1" customWidth="1"/>
    <col min="5391" max="5391" width="12.28515625" style="1" bestFit="1" customWidth="1"/>
    <col min="5392" max="5634" width="11.42578125" style="1"/>
    <col min="5635" max="5635" width="22.28515625" style="1" bestFit="1" customWidth="1"/>
    <col min="5636" max="5636" width="11.42578125" style="1"/>
    <col min="5637" max="5637" width="16" style="1" bestFit="1" customWidth="1"/>
    <col min="5638" max="5638" width="21.7109375" style="1" bestFit="1" customWidth="1"/>
    <col min="5639" max="5639" width="23.42578125" style="1" bestFit="1" customWidth="1"/>
    <col min="5640" max="5640" width="11.42578125" style="1"/>
    <col min="5641" max="5641" width="21.5703125" style="1" customWidth="1"/>
    <col min="5642" max="5643" width="11.42578125" style="1"/>
    <col min="5644" max="5644" width="12.85546875" style="1" bestFit="1" customWidth="1"/>
    <col min="5645" max="5645" width="11.42578125" style="1"/>
    <col min="5646" max="5646" width="27.7109375" style="1" bestFit="1" customWidth="1"/>
    <col min="5647" max="5647" width="12.28515625" style="1" bestFit="1" customWidth="1"/>
    <col min="5648" max="5890" width="11.42578125" style="1"/>
    <col min="5891" max="5891" width="22.28515625" style="1" bestFit="1" customWidth="1"/>
    <col min="5892" max="5892" width="11.42578125" style="1"/>
    <col min="5893" max="5893" width="16" style="1" bestFit="1" customWidth="1"/>
    <col min="5894" max="5894" width="21.7109375" style="1" bestFit="1" customWidth="1"/>
    <col min="5895" max="5895" width="23.42578125" style="1" bestFit="1" customWidth="1"/>
    <col min="5896" max="5896" width="11.42578125" style="1"/>
    <col min="5897" max="5897" width="21.5703125" style="1" customWidth="1"/>
    <col min="5898" max="5899" width="11.42578125" style="1"/>
    <col min="5900" max="5900" width="12.85546875" style="1" bestFit="1" customWidth="1"/>
    <col min="5901" max="5901" width="11.42578125" style="1"/>
    <col min="5902" max="5902" width="27.7109375" style="1" bestFit="1" customWidth="1"/>
    <col min="5903" max="5903" width="12.28515625" style="1" bestFit="1" customWidth="1"/>
    <col min="5904" max="6146" width="11.42578125" style="1"/>
    <col min="6147" max="6147" width="22.28515625" style="1" bestFit="1" customWidth="1"/>
    <col min="6148" max="6148" width="11.42578125" style="1"/>
    <col min="6149" max="6149" width="16" style="1" bestFit="1" customWidth="1"/>
    <col min="6150" max="6150" width="21.7109375" style="1" bestFit="1" customWidth="1"/>
    <col min="6151" max="6151" width="23.42578125" style="1" bestFit="1" customWidth="1"/>
    <col min="6152" max="6152" width="11.42578125" style="1"/>
    <col min="6153" max="6153" width="21.5703125" style="1" customWidth="1"/>
    <col min="6154" max="6155" width="11.42578125" style="1"/>
    <col min="6156" max="6156" width="12.85546875" style="1" bestFit="1" customWidth="1"/>
    <col min="6157" max="6157" width="11.42578125" style="1"/>
    <col min="6158" max="6158" width="27.7109375" style="1" bestFit="1" customWidth="1"/>
    <col min="6159" max="6159" width="12.28515625" style="1" bestFit="1" customWidth="1"/>
    <col min="6160" max="6402" width="11.42578125" style="1"/>
    <col min="6403" max="6403" width="22.28515625" style="1" bestFit="1" customWidth="1"/>
    <col min="6404" max="6404" width="11.42578125" style="1"/>
    <col min="6405" max="6405" width="16" style="1" bestFit="1" customWidth="1"/>
    <col min="6406" max="6406" width="21.7109375" style="1" bestFit="1" customWidth="1"/>
    <col min="6407" max="6407" width="23.42578125" style="1" bestFit="1" customWidth="1"/>
    <col min="6408" max="6408" width="11.42578125" style="1"/>
    <col min="6409" max="6409" width="21.5703125" style="1" customWidth="1"/>
    <col min="6410" max="6411" width="11.42578125" style="1"/>
    <col min="6412" max="6412" width="12.85546875" style="1" bestFit="1" customWidth="1"/>
    <col min="6413" max="6413" width="11.42578125" style="1"/>
    <col min="6414" max="6414" width="27.7109375" style="1" bestFit="1" customWidth="1"/>
    <col min="6415" max="6415" width="12.28515625" style="1" bestFit="1" customWidth="1"/>
    <col min="6416" max="6658" width="11.42578125" style="1"/>
    <col min="6659" max="6659" width="22.28515625" style="1" bestFit="1" customWidth="1"/>
    <col min="6660" max="6660" width="11.42578125" style="1"/>
    <col min="6661" max="6661" width="16" style="1" bestFit="1" customWidth="1"/>
    <col min="6662" max="6662" width="21.7109375" style="1" bestFit="1" customWidth="1"/>
    <col min="6663" max="6663" width="23.42578125" style="1" bestFit="1" customWidth="1"/>
    <col min="6664" max="6664" width="11.42578125" style="1"/>
    <col min="6665" max="6665" width="21.5703125" style="1" customWidth="1"/>
    <col min="6666" max="6667" width="11.42578125" style="1"/>
    <col min="6668" max="6668" width="12.85546875" style="1" bestFit="1" customWidth="1"/>
    <col min="6669" max="6669" width="11.42578125" style="1"/>
    <col min="6670" max="6670" width="27.7109375" style="1" bestFit="1" customWidth="1"/>
    <col min="6671" max="6671" width="12.28515625" style="1" bestFit="1" customWidth="1"/>
    <col min="6672" max="6914" width="11.42578125" style="1"/>
    <col min="6915" max="6915" width="22.28515625" style="1" bestFit="1" customWidth="1"/>
    <col min="6916" max="6916" width="11.42578125" style="1"/>
    <col min="6917" max="6917" width="16" style="1" bestFit="1" customWidth="1"/>
    <col min="6918" max="6918" width="21.7109375" style="1" bestFit="1" customWidth="1"/>
    <col min="6919" max="6919" width="23.42578125" style="1" bestFit="1" customWidth="1"/>
    <col min="6920" max="6920" width="11.42578125" style="1"/>
    <col min="6921" max="6921" width="21.5703125" style="1" customWidth="1"/>
    <col min="6922" max="6923" width="11.42578125" style="1"/>
    <col min="6924" max="6924" width="12.85546875" style="1" bestFit="1" customWidth="1"/>
    <col min="6925" max="6925" width="11.42578125" style="1"/>
    <col min="6926" max="6926" width="27.7109375" style="1" bestFit="1" customWidth="1"/>
    <col min="6927" max="6927" width="12.28515625" style="1" bestFit="1" customWidth="1"/>
    <col min="6928" max="7170" width="11.42578125" style="1"/>
    <col min="7171" max="7171" width="22.28515625" style="1" bestFit="1" customWidth="1"/>
    <col min="7172" max="7172" width="11.42578125" style="1"/>
    <col min="7173" max="7173" width="16" style="1" bestFit="1" customWidth="1"/>
    <col min="7174" max="7174" width="21.7109375" style="1" bestFit="1" customWidth="1"/>
    <col min="7175" max="7175" width="23.42578125" style="1" bestFit="1" customWidth="1"/>
    <col min="7176" max="7176" width="11.42578125" style="1"/>
    <col min="7177" max="7177" width="21.5703125" style="1" customWidth="1"/>
    <col min="7178" max="7179" width="11.42578125" style="1"/>
    <col min="7180" max="7180" width="12.85546875" style="1" bestFit="1" customWidth="1"/>
    <col min="7181" max="7181" width="11.42578125" style="1"/>
    <col min="7182" max="7182" width="27.7109375" style="1" bestFit="1" customWidth="1"/>
    <col min="7183" max="7183" width="12.28515625" style="1" bestFit="1" customWidth="1"/>
    <col min="7184" max="7426" width="11.42578125" style="1"/>
    <col min="7427" max="7427" width="22.28515625" style="1" bestFit="1" customWidth="1"/>
    <col min="7428" max="7428" width="11.42578125" style="1"/>
    <col min="7429" max="7429" width="16" style="1" bestFit="1" customWidth="1"/>
    <col min="7430" max="7430" width="21.7109375" style="1" bestFit="1" customWidth="1"/>
    <col min="7431" max="7431" width="23.42578125" style="1" bestFit="1" customWidth="1"/>
    <col min="7432" max="7432" width="11.42578125" style="1"/>
    <col min="7433" max="7433" width="21.5703125" style="1" customWidth="1"/>
    <col min="7434" max="7435" width="11.42578125" style="1"/>
    <col min="7436" max="7436" width="12.85546875" style="1" bestFit="1" customWidth="1"/>
    <col min="7437" max="7437" width="11.42578125" style="1"/>
    <col min="7438" max="7438" width="27.7109375" style="1" bestFit="1" customWidth="1"/>
    <col min="7439" max="7439" width="12.28515625" style="1" bestFit="1" customWidth="1"/>
    <col min="7440" max="7682" width="11.42578125" style="1"/>
    <col min="7683" max="7683" width="22.28515625" style="1" bestFit="1" customWidth="1"/>
    <col min="7684" max="7684" width="11.42578125" style="1"/>
    <col min="7685" max="7685" width="16" style="1" bestFit="1" customWidth="1"/>
    <col min="7686" max="7686" width="21.7109375" style="1" bestFit="1" customWidth="1"/>
    <col min="7687" max="7687" width="23.42578125" style="1" bestFit="1" customWidth="1"/>
    <col min="7688" max="7688" width="11.42578125" style="1"/>
    <col min="7689" max="7689" width="21.5703125" style="1" customWidth="1"/>
    <col min="7690" max="7691" width="11.42578125" style="1"/>
    <col min="7692" max="7692" width="12.85546875" style="1" bestFit="1" customWidth="1"/>
    <col min="7693" max="7693" width="11.42578125" style="1"/>
    <col min="7694" max="7694" width="27.7109375" style="1" bestFit="1" customWidth="1"/>
    <col min="7695" max="7695" width="12.28515625" style="1" bestFit="1" customWidth="1"/>
    <col min="7696" max="7938" width="11.42578125" style="1"/>
    <col min="7939" max="7939" width="22.28515625" style="1" bestFit="1" customWidth="1"/>
    <col min="7940" max="7940" width="11.42578125" style="1"/>
    <col min="7941" max="7941" width="16" style="1" bestFit="1" customWidth="1"/>
    <col min="7942" max="7942" width="21.7109375" style="1" bestFit="1" customWidth="1"/>
    <col min="7943" max="7943" width="23.42578125" style="1" bestFit="1" customWidth="1"/>
    <col min="7944" max="7944" width="11.42578125" style="1"/>
    <col min="7945" max="7945" width="21.5703125" style="1" customWidth="1"/>
    <col min="7946" max="7947" width="11.42578125" style="1"/>
    <col min="7948" max="7948" width="12.85546875" style="1" bestFit="1" customWidth="1"/>
    <col min="7949" max="7949" width="11.42578125" style="1"/>
    <col min="7950" max="7950" width="27.7109375" style="1" bestFit="1" customWidth="1"/>
    <col min="7951" max="7951" width="12.28515625" style="1" bestFit="1" customWidth="1"/>
    <col min="7952" max="8194" width="11.42578125" style="1"/>
    <col min="8195" max="8195" width="22.28515625" style="1" bestFit="1" customWidth="1"/>
    <col min="8196" max="8196" width="11.42578125" style="1"/>
    <col min="8197" max="8197" width="16" style="1" bestFit="1" customWidth="1"/>
    <col min="8198" max="8198" width="21.7109375" style="1" bestFit="1" customWidth="1"/>
    <col min="8199" max="8199" width="23.42578125" style="1" bestFit="1" customWidth="1"/>
    <col min="8200" max="8200" width="11.42578125" style="1"/>
    <col min="8201" max="8201" width="21.5703125" style="1" customWidth="1"/>
    <col min="8202" max="8203" width="11.42578125" style="1"/>
    <col min="8204" max="8204" width="12.85546875" style="1" bestFit="1" customWidth="1"/>
    <col min="8205" max="8205" width="11.42578125" style="1"/>
    <col min="8206" max="8206" width="27.7109375" style="1" bestFit="1" customWidth="1"/>
    <col min="8207" max="8207" width="12.28515625" style="1" bestFit="1" customWidth="1"/>
    <col min="8208" max="8450" width="11.42578125" style="1"/>
    <col min="8451" max="8451" width="22.28515625" style="1" bestFit="1" customWidth="1"/>
    <col min="8452" max="8452" width="11.42578125" style="1"/>
    <col min="8453" max="8453" width="16" style="1" bestFit="1" customWidth="1"/>
    <col min="8454" max="8454" width="21.7109375" style="1" bestFit="1" customWidth="1"/>
    <col min="8455" max="8455" width="23.42578125" style="1" bestFit="1" customWidth="1"/>
    <col min="8456" max="8456" width="11.42578125" style="1"/>
    <col min="8457" max="8457" width="21.5703125" style="1" customWidth="1"/>
    <col min="8458" max="8459" width="11.42578125" style="1"/>
    <col min="8460" max="8460" width="12.85546875" style="1" bestFit="1" customWidth="1"/>
    <col min="8461" max="8461" width="11.42578125" style="1"/>
    <col min="8462" max="8462" width="27.7109375" style="1" bestFit="1" customWidth="1"/>
    <col min="8463" max="8463" width="12.28515625" style="1" bestFit="1" customWidth="1"/>
    <col min="8464" max="8706" width="11.42578125" style="1"/>
    <col min="8707" max="8707" width="22.28515625" style="1" bestFit="1" customWidth="1"/>
    <col min="8708" max="8708" width="11.42578125" style="1"/>
    <col min="8709" max="8709" width="16" style="1" bestFit="1" customWidth="1"/>
    <col min="8710" max="8710" width="21.7109375" style="1" bestFit="1" customWidth="1"/>
    <col min="8711" max="8711" width="23.42578125" style="1" bestFit="1" customWidth="1"/>
    <col min="8712" max="8712" width="11.42578125" style="1"/>
    <col min="8713" max="8713" width="21.5703125" style="1" customWidth="1"/>
    <col min="8714" max="8715" width="11.42578125" style="1"/>
    <col min="8716" max="8716" width="12.85546875" style="1" bestFit="1" customWidth="1"/>
    <col min="8717" max="8717" width="11.42578125" style="1"/>
    <col min="8718" max="8718" width="27.7109375" style="1" bestFit="1" customWidth="1"/>
    <col min="8719" max="8719" width="12.28515625" style="1" bestFit="1" customWidth="1"/>
    <col min="8720" max="8962" width="11.42578125" style="1"/>
    <col min="8963" max="8963" width="22.28515625" style="1" bestFit="1" customWidth="1"/>
    <col min="8964" max="8964" width="11.42578125" style="1"/>
    <col min="8965" max="8965" width="16" style="1" bestFit="1" customWidth="1"/>
    <col min="8966" max="8966" width="21.7109375" style="1" bestFit="1" customWidth="1"/>
    <col min="8967" max="8967" width="23.42578125" style="1" bestFit="1" customWidth="1"/>
    <col min="8968" max="8968" width="11.42578125" style="1"/>
    <col min="8969" max="8969" width="21.5703125" style="1" customWidth="1"/>
    <col min="8970" max="8971" width="11.42578125" style="1"/>
    <col min="8972" max="8972" width="12.85546875" style="1" bestFit="1" customWidth="1"/>
    <col min="8973" max="8973" width="11.42578125" style="1"/>
    <col min="8974" max="8974" width="27.7109375" style="1" bestFit="1" customWidth="1"/>
    <col min="8975" max="8975" width="12.28515625" style="1" bestFit="1" customWidth="1"/>
    <col min="8976" max="9218" width="11.42578125" style="1"/>
    <col min="9219" max="9219" width="22.28515625" style="1" bestFit="1" customWidth="1"/>
    <col min="9220" max="9220" width="11.42578125" style="1"/>
    <col min="9221" max="9221" width="16" style="1" bestFit="1" customWidth="1"/>
    <col min="9222" max="9222" width="21.7109375" style="1" bestFit="1" customWidth="1"/>
    <col min="9223" max="9223" width="23.42578125" style="1" bestFit="1" customWidth="1"/>
    <col min="9224" max="9224" width="11.42578125" style="1"/>
    <col min="9225" max="9225" width="21.5703125" style="1" customWidth="1"/>
    <col min="9226" max="9227" width="11.42578125" style="1"/>
    <col min="9228" max="9228" width="12.85546875" style="1" bestFit="1" customWidth="1"/>
    <col min="9229" max="9229" width="11.42578125" style="1"/>
    <col min="9230" max="9230" width="27.7109375" style="1" bestFit="1" customWidth="1"/>
    <col min="9231" max="9231" width="12.28515625" style="1" bestFit="1" customWidth="1"/>
    <col min="9232" max="9474" width="11.42578125" style="1"/>
    <col min="9475" max="9475" width="22.28515625" style="1" bestFit="1" customWidth="1"/>
    <col min="9476" max="9476" width="11.42578125" style="1"/>
    <col min="9477" max="9477" width="16" style="1" bestFit="1" customWidth="1"/>
    <col min="9478" max="9478" width="21.7109375" style="1" bestFit="1" customWidth="1"/>
    <col min="9479" max="9479" width="23.42578125" style="1" bestFit="1" customWidth="1"/>
    <col min="9480" max="9480" width="11.42578125" style="1"/>
    <col min="9481" max="9481" width="21.5703125" style="1" customWidth="1"/>
    <col min="9482" max="9483" width="11.42578125" style="1"/>
    <col min="9484" max="9484" width="12.85546875" style="1" bestFit="1" customWidth="1"/>
    <col min="9485" max="9485" width="11.42578125" style="1"/>
    <col min="9486" max="9486" width="27.7109375" style="1" bestFit="1" customWidth="1"/>
    <col min="9487" max="9487" width="12.28515625" style="1" bestFit="1" customWidth="1"/>
    <col min="9488" max="9730" width="11.42578125" style="1"/>
    <col min="9731" max="9731" width="22.28515625" style="1" bestFit="1" customWidth="1"/>
    <col min="9732" max="9732" width="11.42578125" style="1"/>
    <col min="9733" max="9733" width="16" style="1" bestFit="1" customWidth="1"/>
    <col min="9734" max="9734" width="21.7109375" style="1" bestFit="1" customWidth="1"/>
    <col min="9735" max="9735" width="23.42578125" style="1" bestFit="1" customWidth="1"/>
    <col min="9736" max="9736" width="11.42578125" style="1"/>
    <col min="9737" max="9737" width="21.5703125" style="1" customWidth="1"/>
    <col min="9738" max="9739" width="11.42578125" style="1"/>
    <col min="9740" max="9740" width="12.85546875" style="1" bestFit="1" customWidth="1"/>
    <col min="9741" max="9741" width="11.42578125" style="1"/>
    <col min="9742" max="9742" width="27.7109375" style="1" bestFit="1" customWidth="1"/>
    <col min="9743" max="9743" width="12.28515625" style="1" bestFit="1" customWidth="1"/>
    <col min="9744" max="9986" width="11.42578125" style="1"/>
    <col min="9987" max="9987" width="22.28515625" style="1" bestFit="1" customWidth="1"/>
    <col min="9988" max="9988" width="11.42578125" style="1"/>
    <col min="9989" max="9989" width="16" style="1" bestFit="1" customWidth="1"/>
    <col min="9990" max="9990" width="21.7109375" style="1" bestFit="1" customWidth="1"/>
    <col min="9991" max="9991" width="23.42578125" style="1" bestFit="1" customWidth="1"/>
    <col min="9992" max="9992" width="11.42578125" style="1"/>
    <col min="9993" max="9993" width="21.5703125" style="1" customWidth="1"/>
    <col min="9994" max="9995" width="11.42578125" style="1"/>
    <col min="9996" max="9996" width="12.85546875" style="1" bestFit="1" customWidth="1"/>
    <col min="9997" max="9997" width="11.42578125" style="1"/>
    <col min="9998" max="9998" width="27.7109375" style="1" bestFit="1" customWidth="1"/>
    <col min="9999" max="9999" width="12.28515625" style="1" bestFit="1" customWidth="1"/>
    <col min="10000" max="10242" width="11.42578125" style="1"/>
    <col min="10243" max="10243" width="22.28515625" style="1" bestFit="1" customWidth="1"/>
    <col min="10244" max="10244" width="11.42578125" style="1"/>
    <col min="10245" max="10245" width="16" style="1" bestFit="1" customWidth="1"/>
    <col min="10246" max="10246" width="21.7109375" style="1" bestFit="1" customWidth="1"/>
    <col min="10247" max="10247" width="23.42578125" style="1" bestFit="1" customWidth="1"/>
    <col min="10248" max="10248" width="11.42578125" style="1"/>
    <col min="10249" max="10249" width="21.5703125" style="1" customWidth="1"/>
    <col min="10250" max="10251" width="11.42578125" style="1"/>
    <col min="10252" max="10252" width="12.85546875" style="1" bestFit="1" customWidth="1"/>
    <col min="10253" max="10253" width="11.42578125" style="1"/>
    <col min="10254" max="10254" width="27.7109375" style="1" bestFit="1" customWidth="1"/>
    <col min="10255" max="10255" width="12.28515625" style="1" bestFit="1" customWidth="1"/>
    <col min="10256" max="10498" width="11.42578125" style="1"/>
    <col min="10499" max="10499" width="22.28515625" style="1" bestFit="1" customWidth="1"/>
    <col min="10500" max="10500" width="11.42578125" style="1"/>
    <col min="10501" max="10501" width="16" style="1" bestFit="1" customWidth="1"/>
    <col min="10502" max="10502" width="21.7109375" style="1" bestFit="1" customWidth="1"/>
    <col min="10503" max="10503" width="23.42578125" style="1" bestFit="1" customWidth="1"/>
    <col min="10504" max="10504" width="11.42578125" style="1"/>
    <col min="10505" max="10505" width="21.5703125" style="1" customWidth="1"/>
    <col min="10506" max="10507" width="11.42578125" style="1"/>
    <col min="10508" max="10508" width="12.85546875" style="1" bestFit="1" customWidth="1"/>
    <col min="10509" max="10509" width="11.42578125" style="1"/>
    <col min="10510" max="10510" width="27.7109375" style="1" bestFit="1" customWidth="1"/>
    <col min="10511" max="10511" width="12.28515625" style="1" bestFit="1" customWidth="1"/>
    <col min="10512" max="10754" width="11.42578125" style="1"/>
    <col min="10755" max="10755" width="22.28515625" style="1" bestFit="1" customWidth="1"/>
    <col min="10756" max="10756" width="11.42578125" style="1"/>
    <col min="10757" max="10757" width="16" style="1" bestFit="1" customWidth="1"/>
    <col min="10758" max="10758" width="21.7109375" style="1" bestFit="1" customWidth="1"/>
    <col min="10759" max="10759" width="23.42578125" style="1" bestFit="1" customWidth="1"/>
    <col min="10760" max="10760" width="11.42578125" style="1"/>
    <col min="10761" max="10761" width="21.5703125" style="1" customWidth="1"/>
    <col min="10762" max="10763" width="11.42578125" style="1"/>
    <col min="10764" max="10764" width="12.85546875" style="1" bestFit="1" customWidth="1"/>
    <col min="10765" max="10765" width="11.42578125" style="1"/>
    <col min="10766" max="10766" width="27.7109375" style="1" bestFit="1" customWidth="1"/>
    <col min="10767" max="10767" width="12.28515625" style="1" bestFit="1" customWidth="1"/>
    <col min="10768" max="11010" width="11.42578125" style="1"/>
    <col min="11011" max="11011" width="22.28515625" style="1" bestFit="1" customWidth="1"/>
    <col min="11012" max="11012" width="11.42578125" style="1"/>
    <col min="11013" max="11013" width="16" style="1" bestFit="1" customWidth="1"/>
    <col min="11014" max="11014" width="21.7109375" style="1" bestFit="1" customWidth="1"/>
    <col min="11015" max="11015" width="23.42578125" style="1" bestFit="1" customWidth="1"/>
    <col min="11016" max="11016" width="11.42578125" style="1"/>
    <col min="11017" max="11017" width="21.5703125" style="1" customWidth="1"/>
    <col min="11018" max="11019" width="11.42578125" style="1"/>
    <col min="11020" max="11020" width="12.85546875" style="1" bestFit="1" customWidth="1"/>
    <col min="11021" max="11021" width="11.42578125" style="1"/>
    <col min="11022" max="11022" width="27.7109375" style="1" bestFit="1" customWidth="1"/>
    <col min="11023" max="11023" width="12.28515625" style="1" bestFit="1" customWidth="1"/>
    <col min="11024" max="11266" width="11.42578125" style="1"/>
    <col min="11267" max="11267" width="22.28515625" style="1" bestFit="1" customWidth="1"/>
    <col min="11268" max="11268" width="11.42578125" style="1"/>
    <col min="11269" max="11269" width="16" style="1" bestFit="1" customWidth="1"/>
    <col min="11270" max="11270" width="21.7109375" style="1" bestFit="1" customWidth="1"/>
    <col min="11271" max="11271" width="23.42578125" style="1" bestFit="1" customWidth="1"/>
    <col min="11272" max="11272" width="11.42578125" style="1"/>
    <col min="11273" max="11273" width="21.5703125" style="1" customWidth="1"/>
    <col min="11274" max="11275" width="11.42578125" style="1"/>
    <col min="11276" max="11276" width="12.85546875" style="1" bestFit="1" customWidth="1"/>
    <col min="11277" max="11277" width="11.42578125" style="1"/>
    <col min="11278" max="11278" width="27.7109375" style="1" bestFit="1" customWidth="1"/>
    <col min="11279" max="11279" width="12.28515625" style="1" bestFit="1" customWidth="1"/>
    <col min="11280" max="11522" width="11.42578125" style="1"/>
    <col min="11523" max="11523" width="22.28515625" style="1" bestFit="1" customWidth="1"/>
    <col min="11524" max="11524" width="11.42578125" style="1"/>
    <col min="11525" max="11525" width="16" style="1" bestFit="1" customWidth="1"/>
    <col min="11526" max="11526" width="21.7109375" style="1" bestFit="1" customWidth="1"/>
    <col min="11527" max="11527" width="23.42578125" style="1" bestFit="1" customWidth="1"/>
    <col min="11528" max="11528" width="11.42578125" style="1"/>
    <col min="11529" max="11529" width="21.5703125" style="1" customWidth="1"/>
    <col min="11530" max="11531" width="11.42578125" style="1"/>
    <col min="11532" max="11532" width="12.85546875" style="1" bestFit="1" customWidth="1"/>
    <col min="11533" max="11533" width="11.42578125" style="1"/>
    <col min="11534" max="11534" width="27.7109375" style="1" bestFit="1" customWidth="1"/>
    <col min="11535" max="11535" width="12.28515625" style="1" bestFit="1" customWidth="1"/>
    <col min="11536" max="11778" width="11.42578125" style="1"/>
    <col min="11779" max="11779" width="22.28515625" style="1" bestFit="1" customWidth="1"/>
    <col min="11780" max="11780" width="11.42578125" style="1"/>
    <col min="11781" max="11781" width="16" style="1" bestFit="1" customWidth="1"/>
    <col min="11782" max="11782" width="21.7109375" style="1" bestFit="1" customWidth="1"/>
    <col min="11783" max="11783" width="23.42578125" style="1" bestFit="1" customWidth="1"/>
    <col min="11784" max="11784" width="11.42578125" style="1"/>
    <col min="11785" max="11785" width="21.5703125" style="1" customWidth="1"/>
    <col min="11786" max="11787" width="11.42578125" style="1"/>
    <col min="11788" max="11788" width="12.85546875" style="1" bestFit="1" customWidth="1"/>
    <col min="11789" max="11789" width="11.42578125" style="1"/>
    <col min="11790" max="11790" width="27.7109375" style="1" bestFit="1" customWidth="1"/>
    <col min="11791" max="11791" width="12.28515625" style="1" bestFit="1" customWidth="1"/>
    <col min="11792" max="12034" width="11.42578125" style="1"/>
    <col min="12035" max="12035" width="22.28515625" style="1" bestFit="1" customWidth="1"/>
    <col min="12036" max="12036" width="11.42578125" style="1"/>
    <col min="12037" max="12037" width="16" style="1" bestFit="1" customWidth="1"/>
    <col min="12038" max="12038" width="21.7109375" style="1" bestFit="1" customWidth="1"/>
    <col min="12039" max="12039" width="23.42578125" style="1" bestFit="1" customWidth="1"/>
    <col min="12040" max="12040" width="11.42578125" style="1"/>
    <col min="12041" max="12041" width="21.5703125" style="1" customWidth="1"/>
    <col min="12042" max="12043" width="11.42578125" style="1"/>
    <col min="12044" max="12044" width="12.85546875" style="1" bestFit="1" customWidth="1"/>
    <col min="12045" max="12045" width="11.42578125" style="1"/>
    <col min="12046" max="12046" width="27.7109375" style="1" bestFit="1" customWidth="1"/>
    <col min="12047" max="12047" width="12.28515625" style="1" bestFit="1" customWidth="1"/>
    <col min="12048" max="12290" width="11.42578125" style="1"/>
    <col min="12291" max="12291" width="22.28515625" style="1" bestFit="1" customWidth="1"/>
    <col min="12292" max="12292" width="11.42578125" style="1"/>
    <col min="12293" max="12293" width="16" style="1" bestFit="1" customWidth="1"/>
    <col min="12294" max="12294" width="21.7109375" style="1" bestFit="1" customWidth="1"/>
    <col min="12295" max="12295" width="23.42578125" style="1" bestFit="1" customWidth="1"/>
    <col min="12296" max="12296" width="11.42578125" style="1"/>
    <col min="12297" max="12297" width="21.5703125" style="1" customWidth="1"/>
    <col min="12298" max="12299" width="11.42578125" style="1"/>
    <col min="12300" max="12300" width="12.85546875" style="1" bestFit="1" customWidth="1"/>
    <col min="12301" max="12301" width="11.42578125" style="1"/>
    <col min="12302" max="12302" width="27.7109375" style="1" bestFit="1" customWidth="1"/>
    <col min="12303" max="12303" width="12.28515625" style="1" bestFit="1" customWidth="1"/>
    <col min="12304" max="12546" width="11.42578125" style="1"/>
    <col min="12547" max="12547" width="22.28515625" style="1" bestFit="1" customWidth="1"/>
    <col min="12548" max="12548" width="11.42578125" style="1"/>
    <col min="12549" max="12549" width="16" style="1" bestFit="1" customWidth="1"/>
    <col min="12550" max="12550" width="21.7109375" style="1" bestFit="1" customWidth="1"/>
    <col min="12551" max="12551" width="23.42578125" style="1" bestFit="1" customWidth="1"/>
    <col min="12552" max="12552" width="11.42578125" style="1"/>
    <col min="12553" max="12553" width="21.5703125" style="1" customWidth="1"/>
    <col min="12554" max="12555" width="11.42578125" style="1"/>
    <col min="12556" max="12556" width="12.85546875" style="1" bestFit="1" customWidth="1"/>
    <col min="12557" max="12557" width="11.42578125" style="1"/>
    <col min="12558" max="12558" width="27.7109375" style="1" bestFit="1" customWidth="1"/>
    <col min="12559" max="12559" width="12.28515625" style="1" bestFit="1" customWidth="1"/>
    <col min="12560" max="12802" width="11.42578125" style="1"/>
    <col min="12803" max="12803" width="22.28515625" style="1" bestFit="1" customWidth="1"/>
    <col min="12804" max="12804" width="11.42578125" style="1"/>
    <col min="12805" max="12805" width="16" style="1" bestFit="1" customWidth="1"/>
    <col min="12806" max="12806" width="21.7109375" style="1" bestFit="1" customWidth="1"/>
    <col min="12807" max="12807" width="23.42578125" style="1" bestFit="1" customWidth="1"/>
    <col min="12808" max="12808" width="11.42578125" style="1"/>
    <col min="12809" max="12809" width="21.5703125" style="1" customWidth="1"/>
    <col min="12810" max="12811" width="11.42578125" style="1"/>
    <col min="12812" max="12812" width="12.85546875" style="1" bestFit="1" customWidth="1"/>
    <col min="12813" max="12813" width="11.42578125" style="1"/>
    <col min="12814" max="12814" width="27.7109375" style="1" bestFit="1" customWidth="1"/>
    <col min="12815" max="12815" width="12.28515625" style="1" bestFit="1" customWidth="1"/>
    <col min="12816" max="13058" width="11.42578125" style="1"/>
    <col min="13059" max="13059" width="22.28515625" style="1" bestFit="1" customWidth="1"/>
    <col min="13060" max="13060" width="11.42578125" style="1"/>
    <col min="13061" max="13061" width="16" style="1" bestFit="1" customWidth="1"/>
    <col min="13062" max="13062" width="21.7109375" style="1" bestFit="1" customWidth="1"/>
    <col min="13063" max="13063" width="23.42578125" style="1" bestFit="1" customWidth="1"/>
    <col min="13064" max="13064" width="11.42578125" style="1"/>
    <col min="13065" max="13065" width="21.5703125" style="1" customWidth="1"/>
    <col min="13066" max="13067" width="11.42578125" style="1"/>
    <col min="13068" max="13068" width="12.85546875" style="1" bestFit="1" customWidth="1"/>
    <col min="13069" max="13069" width="11.42578125" style="1"/>
    <col min="13070" max="13070" width="27.7109375" style="1" bestFit="1" customWidth="1"/>
    <col min="13071" max="13071" width="12.28515625" style="1" bestFit="1" customWidth="1"/>
    <col min="13072" max="13314" width="11.42578125" style="1"/>
    <col min="13315" max="13315" width="22.28515625" style="1" bestFit="1" customWidth="1"/>
    <col min="13316" max="13316" width="11.42578125" style="1"/>
    <col min="13317" max="13317" width="16" style="1" bestFit="1" customWidth="1"/>
    <col min="13318" max="13318" width="21.7109375" style="1" bestFit="1" customWidth="1"/>
    <col min="13319" max="13319" width="23.42578125" style="1" bestFit="1" customWidth="1"/>
    <col min="13320" max="13320" width="11.42578125" style="1"/>
    <col min="13321" max="13321" width="21.5703125" style="1" customWidth="1"/>
    <col min="13322" max="13323" width="11.42578125" style="1"/>
    <col min="13324" max="13324" width="12.85546875" style="1" bestFit="1" customWidth="1"/>
    <col min="13325" max="13325" width="11.42578125" style="1"/>
    <col min="13326" max="13326" width="27.7109375" style="1" bestFit="1" customWidth="1"/>
    <col min="13327" max="13327" width="12.28515625" style="1" bestFit="1" customWidth="1"/>
    <col min="13328" max="13570" width="11.42578125" style="1"/>
    <col min="13571" max="13571" width="22.28515625" style="1" bestFit="1" customWidth="1"/>
    <col min="13572" max="13572" width="11.42578125" style="1"/>
    <col min="13573" max="13573" width="16" style="1" bestFit="1" customWidth="1"/>
    <col min="13574" max="13574" width="21.7109375" style="1" bestFit="1" customWidth="1"/>
    <col min="13575" max="13575" width="23.42578125" style="1" bestFit="1" customWidth="1"/>
    <col min="13576" max="13576" width="11.42578125" style="1"/>
    <col min="13577" max="13577" width="21.5703125" style="1" customWidth="1"/>
    <col min="13578" max="13579" width="11.42578125" style="1"/>
    <col min="13580" max="13580" width="12.85546875" style="1" bestFit="1" customWidth="1"/>
    <col min="13581" max="13581" width="11.42578125" style="1"/>
    <col min="13582" max="13582" width="27.7109375" style="1" bestFit="1" customWidth="1"/>
    <col min="13583" max="13583" width="12.28515625" style="1" bestFit="1" customWidth="1"/>
    <col min="13584" max="13826" width="11.42578125" style="1"/>
    <col min="13827" max="13827" width="22.28515625" style="1" bestFit="1" customWidth="1"/>
    <col min="13828" max="13828" width="11.42578125" style="1"/>
    <col min="13829" max="13829" width="16" style="1" bestFit="1" customWidth="1"/>
    <col min="13830" max="13830" width="21.7109375" style="1" bestFit="1" customWidth="1"/>
    <col min="13831" max="13831" width="23.42578125" style="1" bestFit="1" customWidth="1"/>
    <col min="13832" max="13832" width="11.42578125" style="1"/>
    <col min="13833" max="13833" width="21.5703125" style="1" customWidth="1"/>
    <col min="13834" max="13835" width="11.42578125" style="1"/>
    <col min="13836" max="13836" width="12.85546875" style="1" bestFit="1" customWidth="1"/>
    <col min="13837" max="13837" width="11.42578125" style="1"/>
    <col min="13838" max="13838" width="27.7109375" style="1" bestFit="1" customWidth="1"/>
    <col min="13839" max="13839" width="12.28515625" style="1" bestFit="1" customWidth="1"/>
    <col min="13840" max="14082" width="11.42578125" style="1"/>
    <col min="14083" max="14083" width="22.28515625" style="1" bestFit="1" customWidth="1"/>
    <col min="14084" max="14084" width="11.42578125" style="1"/>
    <col min="14085" max="14085" width="16" style="1" bestFit="1" customWidth="1"/>
    <col min="14086" max="14086" width="21.7109375" style="1" bestFit="1" customWidth="1"/>
    <col min="14087" max="14087" width="23.42578125" style="1" bestFit="1" customWidth="1"/>
    <col min="14088" max="14088" width="11.42578125" style="1"/>
    <col min="14089" max="14089" width="21.5703125" style="1" customWidth="1"/>
    <col min="14090" max="14091" width="11.42578125" style="1"/>
    <col min="14092" max="14092" width="12.85546875" style="1" bestFit="1" customWidth="1"/>
    <col min="14093" max="14093" width="11.42578125" style="1"/>
    <col min="14094" max="14094" width="27.7109375" style="1" bestFit="1" customWidth="1"/>
    <col min="14095" max="14095" width="12.28515625" style="1" bestFit="1" customWidth="1"/>
    <col min="14096" max="14338" width="11.42578125" style="1"/>
    <col min="14339" max="14339" width="22.28515625" style="1" bestFit="1" customWidth="1"/>
    <col min="14340" max="14340" width="11.42578125" style="1"/>
    <col min="14341" max="14341" width="16" style="1" bestFit="1" customWidth="1"/>
    <col min="14342" max="14342" width="21.7109375" style="1" bestFit="1" customWidth="1"/>
    <col min="14343" max="14343" width="23.42578125" style="1" bestFit="1" customWidth="1"/>
    <col min="14344" max="14344" width="11.42578125" style="1"/>
    <col min="14345" max="14345" width="21.5703125" style="1" customWidth="1"/>
    <col min="14346" max="14347" width="11.42578125" style="1"/>
    <col min="14348" max="14348" width="12.85546875" style="1" bestFit="1" customWidth="1"/>
    <col min="14349" max="14349" width="11.42578125" style="1"/>
    <col min="14350" max="14350" width="27.7109375" style="1" bestFit="1" customWidth="1"/>
    <col min="14351" max="14351" width="12.28515625" style="1" bestFit="1" customWidth="1"/>
    <col min="14352" max="14594" width="11.42578125" style="1"/>
    <col min="14595" max="14595" width="22.28515625" style="1" bestFit="1" customWidth="1"/>
    <col min="14596" max="14596" width="11.42578125" style="1"/>
    <col min="14597" max="14597" width="16" style="1" bestFit="1" customWidth="1"/>
    <col min="14598" max="14598" width="21.7109375" style="1" bestFit="1" customWidth="1"/>
    <col min="14599" max="14599" width="23.42578125" style="1" bestFit="1" customWidth="1"/>
    <col min="14600" max="14600" width="11.42578125" style="1"/>
    <col min="14601" max="14601" width="21.5703125" style="1" customWidth="1"/>
    <col min="14602" max="14603" width="11.42578125" style="1"/>
    <col min="14604" max="14604" width="12.85546875" style="1" bestFit="1" customWidth="1"/>
    <col min="14605" max="14605" width="11.42578125" style="1"/>
    <col min="14606" max="14606" width="27.7109375" style="1" bestFit="1" customWidth="1"/>
    <col min="14607" max="14607" width="12.28515625" style="1" bestFit="1" customWidth="1"/>
    <col min="14608" max="14850" width="11.42578125" style="1"/>
    <col min="14851" max="14851" width="22.28515625" style="1" bestFit="1" customWidth="1"/>
    <col min="14852" max="14852" width="11.42578125" style="1"/>
    <col min="14853" max="14853" width="16" style="1" bestFit="1" customWidth="1"/>
    <col min="14854" max="14854" width="21.7109375" style="1" bestFit="1" customWidth="1"/>
    <col min="14855" max="14855" width="23.42578125" style="1" bestFit="1" customWidth="1"/>
    <col min="14856" max="14856" width="11.42578125" style="1"/>
    <col min="14857" max="14857" width="21.5703125" style="1" customWidth="1"/>
    <col min="14858" max="14859" width="11.42578125" style="1"/>
    <col min="14860" max="14860" width="12.85546875" style="1" bestFit="1" customWidth="1"/>
    <col min="14861" max="14861" width="11.42578125" style="1"/>
    <col min="14862" max="14862" width="27.7109375" style="1" bestFit="1" customWidth="1"/>
    <col min="14863" max="14863" width="12.28515625" style="1" bestFit="1" customWidth="1"/>
    <col min="14864" max="15106" width="11.42578125" style="1"/>
    <col min="15107" max="15107" width="22.28515625" style="1" bestFit="1" customWidth="1"/>
    <col min="15108" max="15108" width="11.42578125" style="1"/>
    <col min="15109" max="15109" width="16" style="1" bestFit="1" customWidth="1"/>
    <col min="15110" max="15110" width="21.7109375" style="1" bestFit="1" customWidth="1"/>
    <col min="15111" max="15111" width="23.42578125" style="1" bestFit="1" customWidth="1"/>
    <col min="15112" max="15112" width="11.42578125" style="1"/>
    <col min="15113" max="15113" width="21.5703125" style="1" customWidth="1"/>
    <col min="15114" max="15115" width="11.42578125" style="1"/>
    <col min="15116" max="15116" width="12.85546875" style="1" bestFit="1" customWidth="1"/>
    <col min="15117" max="15117" width="11.42578125" style="1"/>
    <col min="15118" max="15118" width="27.7109375" style="1" bestFit="1" customWidth="1"/>
    <col min="15119" max="15119" width="12.28515625" style="1" bestFit="1" customWidth="1"/>
    <col min="15120" max="15362" width="11.42578125" style="1"/>
    <col min="15363" max="15363" width="22.28515625" style="1" bestFit="1" customWidth="1"/>
    <col min="15364" max="15364" width="11.42578125" style="1"/>
    <col min="15365" max="15365" width="16" style="1" bestFit="1" customWidth="1"/>
    <col min="15366" max="15366" width="21.7109375" style="1" bestFit="1" customWidth="1"/>
    <col min="15367" max="15367" width="23.42578125" style="1" bestFit="1" customWidth="1"/>
    <col min="15368" max="15368" width="11.42578125" style="1"/>
    <col min="15369" max="15369" width="21.5703125" style="1" customWidth="1"/>
    <col min="15370" max="15371" width="11.42578125" style="1"/>
    <col min="15372" max="15372" width="12.85546875" style="1" bestFit="1" customWidth="1"/>
    <col min="15373" max="15373" width="11.42578125" style="1"/>
    <col min="15374" max="15374" width="27.7109375" style="1" bestFit="1" customWidth="1"/>
    <col min="15375" max="15375" width="12.28515625" style="1" bestFit="1" customWidth="1"/>
    <col min="15376" max="15618" width="11.42578125" style="1"/>
    <col min="15619" max="15619" width="22.28515625" style="1" bestFit="1" customWidth="1"/>
    <col min="15620" max="15620" width="11.42578125" style="1"/>
    <col min="15621" max="15621" width="16" style="1" bestFit="1" customWidth="1"/>
    <col min="15622" max="15622" width="21.7109375" style="1" bestFit="1" customWidth="1"/>
    <col min="15623" max="15623" width="23.42578125" style="1" bestFit="1" customWidth="1"/>
    <col min="15624" max="15624" width="11.42578125" style="1"/>
    <col min="15625" max="15625" width="21.5703125" style="1" customWidth="1"/>
    <col min="15626" max="15627" width="11.42578125" style="1"/>
    <col min="15628" max="15628" width="12.85546875" style="1" bestFit="1" customWidth="1"/>
    <col min="15629" max="15629" width="11.42578125" style="1"/>
    <col min="15630" max="15630" width="27.7109375" style="1" bestFit="1" customWidth="1"/>
    <col min="15631" max="15631" width="12.28515625" style="1" bestFit="1" customWidth="1"/>
    <col min="15632" max="15874" width="11.42578125" style="1"/>
    <col min="15875" max="15875" width="22.28515625" style="1" bestFit="1" customWidth="1"/>
    <col min="15876" max="15876" width="11.42578125" style="1"/>
    <col min="15877" max="15877" width="16" style="1" bestFit="1" customWidth="1"/>
    <col min="15878" max="15878" width="21.7109375" style="1" bestFit="1" customWidth="1"/>
    <col min="15879" max="15879" width="23.42578125" style="1" bestFit="1" customWidth="1"/>
    <col min="15880" max="15880" width="11.42578125" style="1"/>
    <col min="15881" max="15881" width="21.5703125" style="1" customWidth="1"/>
    <col min="15882" max="15883" width="11.42578125" style="1"/>
    <col min="15884" max="15884" width="12.85546875" style="1" bestFit="1" customWidth="1"/>
    <col min="15885" max="15885" width="11.42578125" style="1"/>
    <col min="15886" max="15886" width="27.7109375" style="1" bestFit="1" customWidth="1"/>
    <col min="15887" max="15887" width="12.28515625" style="1" bestFit="1" customWidth="1"/>
    <col min="15888" max="16130" width="11.42578125" style="1"/>
    <col min="16131" max="16131" width="22.28515625" style="1" bestFit="1" customWidth="1"/>
    <col min="16132" max="16132" width="11.42578125" style="1"/>
    <col min="16133" max="16133" width="16" style="1" bestFit="1" customWidth="1"/>
    <col min="16134" max="16134" width="21.7109375" style="1" bestFit="1" customWidth="1"/>
    <col min="16135" max="16135" width="23.42578125" style="1" bestFit="1" customWidth="1"/>
    <col min="16136" max="16136" width="11.42578125" style="1"/>
    <col min="16137" max="16137" width="21.5703125" style="1" customWidth="1"/>
    <col min="16138" max="16139" width="11.42578125" style="1"/>
    <col min="16140" max="16140" width="12.85546875" style="1" bestFit="1" customWidth="1"/>
    <col min="16141" max="16141" width="11.42578125" style="1"/>
    <col min="16142" max="16142" width="27.7109375" style="1" bestFit="1" customWidth="1"/>
    <col min="16143" max="16143" width="12.28515625" style="1" bestFit="1" customWidth="1"/>
    <col min="16144" max="16384" width="11.42578125" style="1"/>
  </cols>
  <sheetData>
    <row r="1" spans="2:33" s="7" customFormat="1" ht="50.1" customHeight="1" thickBot="1" x14ac:dyDescent="0.25">
      <c r="B1" s="779" t="s">
        <v>260</v>
      </c>
      <c r="C1" s="780"/>
      <c r="D1" s="780"/>
      <c r="E1" s="780"/>
      <c r="F1" s="780"/>
      <c r="G1" s="780"/>
      <c r="H1" s="780"/>
      <c r="I1" s="780"/>
      <c r="J1" s="780"/>
      <c r="K1" s="780"/>
      <c r="L1" s="780"/>
      <c r="M1" s="780"/>
      <c r="N1" s="781"/>
      <c r="O1" s="734"/>
      <c r="P1" s="9"/>
      <c r="Q1" s="705"/>
      <c r="R1" s="705"/>
      <c r="S1" s="64"/>
      <c r="T1" s="68"/>
      <c r="U1" s="67"/>
      <c r="V1" s="67"/>
      <c r="W1" s="64"/>
      <c r="X1" s="64"/>
      <c r="Y1" s="64"/>
      <c r="Z1" s="64"/>
      <c r="AA1" s="64"/>
      <c r="AB1" s="64"/>
      <c r="AC1" s="64"/>
      <c r="AD1" s="64"/>
      <c r="AE1" s="64"/>
      <c r="AF1" s="33"/>
      <c r="AG1" s="33"/>
    </row>
    <row r="2" spans="2:33" ht="24.95" customHeight="1" thickBot="1" x14ac:dyDescent="0.25">
      <c r="B2" s="934" t="s">
        <v>16</v>
      </c>
      <c r="C2" s="934"/>
      <c r="D2" s="935">
        <v>44008</v>
      </c>
      <c r="E2" s="936"/>
      <c r="G2" s="934" t="s">
        <v>35</v>
      </c>
      <c r="H2" s="934"/>
      <c r="I2" s="937">
        <f ca="1">NOW()</f>
        <v>45720.672637847223</v>
      </c>
      <c r="J2" s="937"/>
      <c r="K2" s="8"/>
      <c r="M2" s="866" t="s">
        <v>19</v>
      </c>
      <c r="N2" s="866"/>
    </row>
    <row r="3" spans="2:33" ht="24.95" customHeight="1" thickBot="1" x14ac:dyDescent="0.25">
      <c r="B3" s="867" t="s">
        <v>17</v>
      </c>
      <c r="C3" s="867"/>
      <c r="D3" s="841">
        <v>44612</v>
      </c>
      <c r="E3" s="842"/>
      <c r="F3" s="843"/>
      <c r="H3" s="686" t="s">
        <v>244</v>
      </c>
      <c r="I3" s="844">
        <v>0.47916666666666669</v>
      </c>
      <c r="J3" s="845"/>
      <c r="M3" s="846"/>
      <c r="N3" s="847"/>
    </row>
    <row r="4" spans="2:33" ht="24.95" customHeight="1" thickBot="1" x14ac:dyDescent="0.25">
      <c r="B4" s="23"/>
      <c r="C4" s="23"/>
      <c r="M4" s="848">
        <f>IF((Capacité_carburant_Max_11-Carburant_utilisable_11)&gt;0,Capacité_carburant_Max_11-Carburant_utilisable_11,"Tout le carburant est utilisable.")</f>
        <v>10</v>
      </c>
      <c r="N4" s="848"/>
    </row>
    <row r="5" spans="2:33" ht="24.95" customHeight="1" thickBot="1" x14ac:dyDescent="0.25">
      <c r="C5" s="829" t="s">
        <v>50</v>
      </c>
      <c r="D5" s="830"/>
      <c r="E5" s="830"/>
      <c r="F5" s="831"/>
      <c r="H5" s="804" t="str">
        <f>UPPER("02-Données du vol")</f>
        <v>02-DONNÉES DU VOL</v>
      </c>
      <c r="I5" s="943"/>
      <c r="J5" s="671"/>
      <c r="K5" s="670"/>
      <c r="M5" s="829" t="s">
        <v>42</v>
      </c>
      <c r="N5" s="831"/>
      <c r="O5" s="735"/>
      <c r="P5" s="9" t="s">
        <v>14</v>
      </c>
    </row>
    <row r="6" spans="2:33" s="2" customFormat="1" ht="39" customHeight="1" thickTop="1" thickBot="1" x14ac:dyDescent="0.25">
      <c r="B6" s="4"/>
      <c r="C6" s="107" t="s">
        <v>0</v>
      </c>
      <c r="D6" s="102" t="s">
        <v>11</v>
      </c>
      <c r="E6" s="102" t="s">
        <v>10</v>
      </c>
      <c r="F6" s="108" t="s">
        <v>9</v>
      </c>
      <c r="G6" s="1"/>
      <c r="H6" s="951" t="s">
        <v>147</v>
      </c>
      <c r="I6" s="952"/>
      <c r="J6" s="813" t="str">
        <f>IF(Durée_Totale_Vol_11&gt;Q12,"Erreur !",TEXT(Q13,"#0")&amp;" h et "&amp;TEXT(Q14,"#0")&amp;" mn")</f>
        <v>1 h et 49 mn</v>
      </c>
      <c r="K6" s="814"/>
      <c r="L6" s="1"/>
      <c r="M6" s="418" t="s">
        <v>118</v>
      </c>
      <c r="N6" s="416">
        <v>0.72</v>
      </c>
      <c r="O6" s="736"/>
      <c r="P6" s="716" t="s">
        <v>15</v>
      </c>
      <c r="Q6" s="716"/>
      <c r="R6" s="716"/>
      <c r="U6" s="71"/>
      <c r="V6" s="71"/>
      <c r="W6" s="71"/>
      <c r="X6" s="71"/>
      <c r="Y6" s="71"/>
      <c r="Z6" s="71"/>
      <c r="AA6" s="71"/>
      <c r="AB6" s="71"/>
      <c r="AC6" s="71"/>
      <c r="AD6" s="71"/>
      <c r="AE6" s="71"/>
      <c r="AF6" s="36"/>
      <c r="AG6" s="36"/>
    </row>
    <row r="7" spans="2:33" ht="24.95" customHeight="1" thickBot="1" x14ac:dyDescent="0.25">
      <c r="B7" s="461" t="s">
        <v>1</v>
      </c>
      <c r="C7" s="464"/>
      <c r="D7" s="711">
        <v>884.7</v>
      </c>
      <c r="E7" s="710">
        <v>1.0126999999999999</v>
      </c>
      <c r="F7" s="460">
        <f>E7*D7</f>
        <v>895.93569000000002</v>
      </c>
      <c r="H7" s="787" t="str">
        <f>IF(Nbre_Aérodromes_11&lt;=0,"* Minimum 1 aérodrome de destination","")</f>
        <v/>
      </c>
      <c r="I7" s="787"/>
      <c r="J7" s="787"/>
      <c r="K7" s="787"/>
      <c r="M7" s="417" t="s">
        <v>255</v>
      </c>
      <c r="N7" s="649">
        <f>SUM(N8:N9)</f>
        <v>120</v>
      </c>
      <c r="S7" s="849" t="str">
        <f>UPPER("Moment à l'atterrissage")</f>
        <v>MOMENT À L'ATTERRISSAGE</v>
      </c>
      <c r="T7" s="850"/>
      <c r="U7" s="131" t="s">
        <v>106</v>
      </c>
      <c r="V7" s="131" t="s">
        <v>105</v>
      </c>
      <c r="W7" s="132" t="s">
        <v>107</v>
      </c>
    </row>
    <row r="8" spans="2:33" ht="24.95" customHeight="1" x14ac:dyDescent="0.2">
      <c r="B8" s="462" t="s">
        <v>4</v>
      </c>
      <c r="C8" s="357"/>
      <c r="D8" s="486">
        <v>77</v>
      </c>
      <c r="E8" s="350">
        <v>1.155</v>
      </c>
      <c r="F8" s="333">
        <f t="shared" ref="F8:F13" si="0">E8*D8</f>
        <v>88.935000000000002</v>
      </c>
      <c r="H8" s="1005" t="s">
        <v>21</v>
      </c>
      <c r="I8" s="1006"/>
      <c r="J8" s="1007"/>
      <c r="K8" s="425">
        <v>60</v>
      </c>
      <c r="M8" s="489" t="s">
        <v>256</v>
      </c>
      <c r="N8" s="628">
        <v>70</v>
      </c>
      <c r="S8" s="340" t="s">
        <v>1</v>
      </c>
      <c r="T8" s="476"/>
      <c r="U8" s="395">
        <f>D7</f>
        <v>884.7</v>
      </c>
      <c r="V8" s="396">
        <f>E7</f>
        <v>1.0126999999999999</v>
      </c>
      <c r="W8" s="397">
        <f>U8*V8</f>
        <v>895.93569000000002</v>
      </c>
    </row>
    <row r="9" spans="2:33" ht="24.95" customHeight="1" thickBot="1" x14ac:dyDescent="0.25">
      <c r="B9" s="462" t="s">
        <v>5</v>
      </c>
      <c r="C9" s="357"/>
      <c r="D9" s="487">
        <v>77</v>
      </c>
      <c r="E9" s="350">
        <v>1.155</v>
      </c>
      <c r="F9" s="333">
        <f t="shared" si="0"/>
        <v>88.935000000000002</v>
      </c>
      <c r="H9" s="980" t="s">
        <v>22</v>
      </c>
      <c r="I9" s="981"/>
      <c r="J9" s="982"/>
      <c r="K9" s="426">
        <v>1</v>
      </c>
      <c r="M9" s="489" t="s">
        <v>257</v>
      </c>
      <c r="N9" s="629">
        <v>50</v>
      </c>
      <c r="P9" s="717" t="s">
        <v>94</v>
      </c>
      <c r="S9" s="133" t="s">
        <v>159</v>
      </c>
      <c r="T9" s="381"/>
      <c r="U9" s="135">
        <f>D8+D9</f>
        <v>154</v>
      </c>
      <c r="V9" s="136">
        <f>E8</f>
        <v>1.155</v>
      </c>
      <c r="W9" s="137">
        <f>U9*V9</f>
        <v>177.87</v>
      </c>
    </row>
    <row r="10" spans="2:33" ht="24.95" customHeight="1" thickBot="1" x14ac:dyDescent="0.25">
      <c r="B10" s="462" t="s">
        <v>6</v>
      </c>
      <c r="C10" s="357"/>
      <c r="D10" s="487"/>
      <c r="E10" s="350">
        <v>2.0350000000000001</v>
      </c>
      <c r="F10" s="333">
        <f>E10*D10</f>
        <v>0</v>
      </c>
      <c r="H10" s="997" t="str">
        <f>UPPER("Génération du graphique")</f>
        <v>GÉNÉRATION DU GRAPHIQUE</v>
      </c>
      <c r="I10" s="998"/>
      <c r="J10" s="998"/>
      <c r="K10" s="999"/>
      <c r="M10" s="417" t="s">
        <v>258</v>
      </c>
      <c r="N10" s="652">
        <f>N7-10</f>
        <v>110</v>
      </c>
      <c r="P10" s="9" t="s">
        <v>24</v>
      </c>
      <c r="Q10" s="718">
        <f>Consommation_minute_11</f>
        <v>1.0066666666666666</v>
      </c>
      <c r="R10" s="718"/>
      <c r="S10" s="133" t="s">
        <v>160</v>
      </c>
      <c r="T10" s="381"/>
      <c r="U10" s="135">
        <f>D10+D11</f>
        <v>0</v>
      </c>
      <c r="V10" s="136">
        <f>E10</f>
        <v>2.0350000000000001</v>
      </c>
      <c r="W10" s="137">
        <f>U10*V10</f>
        <v>0</v>
      </c>
    </row>
    <row r="11" spans="2:33" ht="24.95" customHeight="1" thickBot="1" x14ac:dyDescent="0.25">
      <c r="B11" s="462" t="s">
        <v>7</v>
      </c>
      <c r="C11" s="357"/>
      <c r="D11" s="487"/>
      <c r="E11" s="350">
        <v>2.0350000000000001</v>
      </c>
      <c r="F11" s="333">
        <f t="shared" si="0"/>
        <v>0</v>
      </c>
      <c r="H11" s="386" t="s">
        <v>64</v>
      </c>
      <c r="I11" s="387" t="s">
        <v>2</v>
      </c>
      <c r="J11" s="387" t="s">
        <v>119</v>
      </c>
      <c r="K11" s="472" t="s">
        <v>138</v>
      </c>
      <c r="M11" s="417" t="s">
        <v>29</v>
      </c>
      <c r="N11" s="653">
        <v>60.4</v>
      </c>
      <c r="P11" s="9" t="s">
        <v>25</v>
      </c>
      <c r="Q11" s="705">
        <f>IF(Carburant_Bloc_11&gt;Carburant_utilisable_11,Carburant_utilisable_11-(Carburant_Bloc_11-Carburant_utilisable_11),Carburant_utilisable_11)</f>
        <v>110</v>
      </c>
      <c r="S11" s="133" t="s">
        <v>80</v>
      </c>
      <c r="T11" s="381"/>
      <c r="U11" s="135">
        <f>Bagages_11</f>
        <v>10</v>
      </c>
      <c r="V11" s="136">
        <f>E12</f>
        <v>2.6</v>
      </c>
      <c r="W11" s="137">
        <f>U11*V11</f>
        <v>26</v>
      </c>
    </row>
    <row r="12" spans="2:33" ht="24.95" customHeight="1" thickBot="1" x14ac:dyDescent="0.25">
      <c r="B12" s="462" t="s">
        <v>259</v>
      </c>
      <c r="C12" s="357"/>
      <c r="D12" s="488">
        <v>10</v>
      </c>
      <c r="E12" s="350">
        <v>2.6</v>
      </c>
      <c r="F12" s="333">
        <f t="shared" si="0"/>
        <v>26</v>
      </c>
      <c r="H12" s="230" t="s">
        <v>170</v>
      </c>
      <c r="I12" s="327">
        <v>730</v>
      </c>
      <c r="J12" s="95">
        <v>800</v>
      </c>
      <c r="K12" s="227">
        <f t="shared" ref="K12:K19" si="1">I12/J12</f>
        <v>0.91249999999999998</v>
      </c>
      <c r="M12" s="450" t="s">
        <v>8</v>
      </c>
      <c r="N12" s="451">
        <f>N11/60</f>
        <v>1.0066666666666666</v>
      </c>
      <c r="P12" s="9" t="s">
        <v>26</v>
      </c>
      <c r="Q12" s="719">
        <f>Q11/Q10</f>
        <v>109.27152317880795</v>
      </c>
      <c r="R12" s="719"/>
      <c r="S12" s="179" t="str">
        <f>B13</f>
        <v>Carburant total :</v>
      </c>
      <c r="T12" s="623">
        <f>IF(Carburant_Bloc_11&gt;(Carburant_Principal_11+Carburant_Secondaire_11),0,(Carburant_Principal_11+Carburant_Secondaire_11)-Carburant_Bloc_11)</f>
        <v>39.466666666666669</v>
      </c>
      <c r="U12" s="180">
        <f>T12*Densité_Carburant_11</f>
        <v>28.416</v>
      </c>
      <c r="V12" s="181">
        <f>E13</f>
        <v>1.085</v>
      </c>
      <c r="W12" s="182">
        <f>U12*V12</f>
        <v>30.83136</v>
      </c>
    </row>
    <row r="13" spans="2:33" ht="24.95" customHeight="1" thickBot="1" x14ac:dyDescent="0.25">
      <c r="B13" s="463" t="s">
        <v>60</v>
      </c>
      <c r="C13" s="336">
        <f>N8+N9</f>
        <v>120</v>
      </c>
      <c r="D13" s="485">
        <f>Densité_Carburant_11*C13</f>
        <v>86.399999999999991</v>
      </c>
      <c r="E13" s="338">
        <v>1.085</v>
      </c>
      <c r="F13" s="339">
        <f t="shared" si="0"/>
        <v>93.743999999999986</v>
      </c>
      <c r="H13" s="466" t="s">
        <v>81</v>
      </c>
      <c r="I13" s="328">
        <v>913</v>
      </c>
      <c r="J13" s="96">
        <v>1000</v>
      </c>
      <c r="K13" s="227">
        <f t="shared" si="1"/>
        <v>0.91300000000000003</v>
      </c>
      <c r="M13" s="1003" t="str">
        <f>IF(Capacité_carburant_Max_11&gt;336,"ERREUR capacité carburant !","Capacité carburant Ok !")</f>
        <v>Capacité carburant Ok !</v>
      </c>
      <c r="N13" s="1004"/>
      <c r="P13" s="9" t="s">
        <v>27</v>
      </c>
      <c r="Q13" s="705">
        <f>ROUNDDOWN(Q12/60,0)</f>
        <v>1</v>
      </c>
      <c r="S13" s="313" t="s">
        <v>161</v>
      </c>
      <c r="T13" s="613">
        <f>SUM(T12)</f>
        <v>39.466666666666669</v>
      </c>
      <c r="U13" s="314">
        <f>SUM(U8:U12)</f>
        <v>1077.116</v>
      </c>
      <c r="V13" s="315">
        <f>Moment_Atterrissage_11/Masse_Atterrissage_11</f>
        <v>1.0496892163889497</v>
      </c>
      <c r="W13" s="316">
        <f>SUM(W8:W12)</f>
        <v>1130.63705</v>
      </c>
    </row>
    <row r="14" spans="2:33" ht="24.95" customHeight="1" thickBot="1" x14ac:dyDescent="0.25">
      <c r="B14" s="257" t="s">
        <v>12</v>
      </c>
      <c r="C14" s="455">
        <f>SUM(C13:C13)</f>
        <v>120</v>
      </c>
      <c r="D14" s="456">
        <f>SUM(D7:D13)</f>
        <v>1135.1000000000001</v>
      </c>
      <c r="E14" s="457">
        <f>Moment_Décollage_11/Masse_Décollage_11</f>
        <v>1.0514929874019907</v>
      </c>
      <c r="F14" s="458">
        <f>SUM(F7:F13)</f>
        <v>1193.5496899999998</v>
      </c>
      <c r="H14" s="417" t="s">
        <v>82</v>
      </c>
      <c r="I14" s="467">
        <v>1186.25</v>
      </c>
      <c r="J14" s="468">
        <v>1250</v>
      </c>
      <c r="K14" s="227">
        <f t="shared" si="1"/>
        <v>0.94899999999999995</v>
      </c>
      <c r="M14" s="795" t="str">
        <f>UPPER("Carburant Exploit. générale")</f>
        <v>CARBURANT EXPLOIT. GÉNÉRALE</v>
      </c>
      <c r="N14" s="796"/>
      <c r="P14" s="9" t="s">
        <v>28</v>
      </c>
      <c r="Q14" s="719">
        <f>Q12-(Q13*60)</f>
        <v>49.271523178807954</v>
      </c>
      <c r="R14" s="719"/>
      <c r="S14" s="851" t="str">
        <f>IF(T12=Réserve_Finale_11,"Le carburant restant dans le réservoir principal correspond à la réserve finale","")</f>
        <v/>
      </c>
      <c r="T14" s="851"/>
      <c r="U14" s="851"/>
      <c r="V14" s="851"/>
      <c r="W14" s="851"/>
      <c r="X14" s="10"/>
      <c r="Y14" s="10"/>
      <c r="Z14" s="10"/>
      <c r="AA14" s="10"/>
    </row>
    <row r="15" spans="2:33" ht="24.95" customHeight="1" thickBot="1" x14ac:dyDescent="0.25">
      <c r="B15" s="1000" t="str">
        <f>IF(C14&gt;336,"* ATTENTION ! Le total carburant est supérieur à la capacité totale !","")</f>
        <v/>
      </c>
      <c r="C15" s="1000"/>
      <c r="D15" s="1000"/>
      <c r="E15" s="1000"/>
      <c r="F15" s="1000"/>
      <c r="H15" s="466" t="s">
        <v>83</v>
      </c>
      <c r="I15" s="328">
        <v>1499.4</v>
      </c>
      <c r="J15" s="96">
        <f>Masse_Max_Décollage_11</f>
        <v>1400</v>
      </c>
      <c r="K15" s="227">
        <f t="shared" si="1"/>
        <v>1.0710000000000002</v>
      </c>
      <c r="M15" s="944" t="str">
        <f>IF(N24&gt;Carburant_utilisable_11,"DANGER - Total carburant insuffisant !","OK - Quantité de carburant suffisante")</f>
        <v>OK - Quantité de carburant suffisante</v>
      </c>
      <c r="N15" s="945"/>
      <c r="O15" s="737"/>
      <c r="P15" s="720"/>
      <c r="Q15" s="721"/>
      <c r="R15" s="721"/>
      <c r="S15" s="581"/>
      <c r="T15" s="580" t="s">
        <v>236</v>
      </c>
      <c r="U15" s="580" t="s">
        <v>33</v>
      </c>
      <c r="V15" s="580" t="s">
        <v>234</v>
      </c>
      <c r="W15" s="580" t="s">
        <v>233</v>
      </c>
      <c r="X15" s="580" t="s">
        <v>235</v>
      </c>
      <c r="Y15" s="580" t="s">
        <v>237</v>
      </c>
      <c r="Z15" s="580" t="s">
        <v>240</v>
      </c>
      <c r="AA15" s="10"/>
      <c r="AB15" s="14"/>
    </row>
    <row r="16" spans="2:33" ht="24.95" customHeight="1" x14ac:dyDescent="0.2">
      <c r="B16" s="15"/>
      <c r="D16" s="953" t="str">
        <f>UPPER("Masse Totale :")</f>
        <v>MASSE TOTALE :</v>
      </c>
      <c r="E16" s="954"/>
      <c r="F16" s="565">
        <f>IF(Masse_Décollage_11&gt;Masse_Max_Décollage_11,"DANGER",Masse_Décollage_11)</f>
        <v>1135.1000000000001</v>
      </c>
      <c r="H16" s="417" t="s">
        <v>84</v>
      </c>
      <c r="I16" s="328">
        <v>1687</v>
      </c>
      <c r="J16" s="96">
        <f>Masse_Max_Décollage_11</f>
        <v>1400</v>
      </c>
      <c r="K16" s="227">
        <f t="shared" si="1"/>
        <v>1.2050000000000001</v>
      </c>
      <c r="M16" s="473" t="s">
        <v>102</v>
      </c>
      <c r="N16" s="706">
        <f>Durée_Totale_Vol_11*Consommation_minute_11</f>
        <v>60.4</v>
      </c>
      <c r="O16" s="735"/>
      <c r="S16" s="581" t="s">
        <v>242</v>
      </c>
      <c r="T16" s="582">
        <v>168</v>
      </c>
      <c r="U16" s="579">
        <f>Carburant_Aile_Droite_11</f>
        <v>70</v>
      </c>
      <c r="V16" s="583">
        <f>1-W16</f>
        <v>0.58333333333333326</v>
      </c>
      <c r="W16" s="583">
        <f>U16/T16</f>
        <v>0.41666666666666669</v>
      </c>
      <c r="X16" s="584">
        <v>0.2</v>
      </c>
      <c r="Y16" s="584">
        <v>0.2</v>
      </c>
      <c r="Z16" s="584">
        <v>0.2</v>
      </c>
      <c r="AA16" s="10"/>
      <c r="AB16" s="14"/>
    </row>
    <row r="17" spans="2:28" ht="24.95" customHeight="1" thickBot="1" x14ac:dyDescent="0.25">
      <c r="B17" s="3"/>
      <c r="D17" s="958" t="str">
        <f>UPPER("Bras de levier :")</f>
        <v>BRAS DE LEVIER :</v>
      </c>
      <c r="E17" s="959"/>
      <c r="F17" s="465">
        <f>IF(Moment_Décollage_11/Masse_Décollage_11&gt;1617.65,"DANGER",Moment_Décollage_11/Masse_Décollage_11)</f>
        <v>1.0514929874019907</v>
      </c>
      <c r="H17" s="470" t="s">
        <v>85</v>
      </c>
      <c r="I17" s="326">
        <v>964</v>
      </c>
      <c r="J17" s="98">
        <v>800</v>
      </c>
      <c r="K17" s="227">
        <f t="shared" si="1"/>
        <v>1.2050000000000001</v>
      </c>
      <c r="M17" s="252" t="s">
        <v>103</v>
      </c>
      <c r="N17" s="645">
        <f>Nbre_Aérodromes_11*(Consommation_minute_11*10)</f>
        <v>10.066666666666666</v>
      </c>
      <c r="O17" s="735"/>
      <c r="P17" s="717" t="s">
        <v>141</v>
      </c>
      <c r="S17" s="581"/>
      <c r="T17" s="580" t="s">
        <v>236</v>
      </c>
      <c r="U17" s="580" t="s">
        <v>33</v>
      </c>
      <c r="V17" s="580" t="s">
        <v>234</v>
      </c>
      <c r="W17" s="580" t="s">
        <v>233</v>
      </c>
      <c r="X17" s="580" t="s">
        <v>235</v>
      </c>
      <c r="Y17" s="580" t="s">
        <v>237</v>
      </c>
      <c r="Z17" s="580" t="s">
        <v>240</v>
      </c>
      <c r="AA17" s="10"/>
      <c r="AB17" s="14"/>
    </row>
    <row r="18" spans="2:28" ht="24.95" customHeight="1" thickBot="1" x14ac:dyDescent="0.25">
      <c r="B18" s="792" t="str">
        <f>IF(Masse_Décollage_11&gt;Masse_Max_Décollage_11,"* ATTENTION ! La masse max au décollage est dépassée !","")</f>
        <v/>
      </c>
      <c r="C18" s="792"/>
      <c r="D18" s="792"/>
      <c r="E18" s="792"/>
      <c r="F18" s="792"/>
      <c r="H18" s="343" t="s">
        <v>108</v>
      </c>
      <c r="I18" s="325">
        <f>Moment_Décollage_11</f>
        <v>1193.5496899999998</v>
      </c>
      <c r="J18" s="97">
        <f>Masse_Décollage_11</f>
        <v>1135.1000000000001</v>
      </c>
      <c r="K18" s="344">
        <f t="shared" si="1"/>
        <v>1.0514929874019907</v>
      </c>
      <c r="M18" s="259" t="s">
        <v>143</v>
      </c>
      <c r="N18" s="707">
        <f>SUM(N16:N17)</f>
        <v>70.466666666666669</v>
      </c>
      <c r="O18" s="735"/>
      <c r="P18" s="9" t="s">
        <v>122</v>
      </c>
      <c r="Q18" s="722">
        <f>Carburant_Bloc_11/Durée_Totale_Vol_11</f>
        <v>1.3422222222222222</v>
      </c>
      <c r="R18" s="722"/>
      <c r="S18" s="581" t="s">
        <v>243</v>
      </c>
      <c r="T18" s="582">
        <v>168</v>
      </c>
      <c r="U18" s="579">
        <f>Carburant_Aile_Gauche_11</f>
        <v>50</v>
      </c>
      <c r="V18" s="583">
        <f>1-W18</f>
        <v>0.70238095238095233</v>
      </c>
      <c r="W18" s="583">
        <f>U18/T18</f>
        <v>0.29761904761904762</v>
      </c>
      <c r="X18" s="584">
        <v>0.2</v>
      </c>
      <c r="Y18" s="584">
        <v>0.2</v>
      </c>
      <c r="Z18" s="584">
        <v>0.2</v>
      </c>
      <c r="AA18" s="10"/>
      <c r="AB18" s="14"/>
    </row>
    <row r="19" spans="2:28" ht="24.95" customHeight="1" thickBot="1" x14ac:dyDescent="0.25">
      <c r="B19" s="967" t="s">
        <v>30</v>
      </c>
      <c r="C19" s="968"/>
      <c r="D19" s="968"/>
      <c r="E19" s="968"/>
      <c r="F19" s="969"/>
      <c r="H19" s="231" t="s">
        <v>109</v>
      </c>
      <c r="I19" s="345">
        <f>Moment_Atterrissage_11</f>
        <v>1130.63705</v>
      </c>
      <c r="J19" s="173">
        <f>Masse_Atterrissage_11</f>
        <v>1077.116</v>
      </c>
      <c r="K19" s="174">
        <f t="shared" si="1"/>
        <v>1.0496892163889497</v>
      </c>
      <c r="M19" s="270" t="s">
        <v>43</v>
      </c>
      <c r="N19" s="271" t="s">
        <v>14</v>
      </c>
      <c r="O19" s="735"/>
      <c r="P19" s="9" t="s">
        <v>25</v>
      </c>
      <c r="Q19" s="705">
        <f>Q11</f>
        <v>110</v>
      </c>
      <c r="S19" s="581"/>
      <c r="T19" s="579">
        <f>Capacité_carburant_Max_11-Carburant_utilisable_11</f>
        <v>10</v>
      </c>
      <c r="U19" s="599"/>
      <c r="V19" s="597"/>
      <c r="W19" s="49"/>
      <c r="X19" s="49"/>
      <c r="Y19" s="49"/>
      <c r="Z19" s="49"/>
      <c r="AA19" s="10"/>
      <c r="AB19" s="14"/>
    </row>
    <row r="20" spans="2:28" ht="24.95" customHeight="1" thickBot="1" x14ac:dyDescent="0.25">
      <c r="B20" s="989" t="s">
        <v>87</v>
      </c>
      <c r="C20" s="990"/>
      <c r="D20" s="434" t="s">
        <v>33</v>
      </c>
      <c r="E20" s="991" t="s">
        <v>34</v>
      </c>
      <c r="F20" s="992"/>
      <c r="H20" s="792" t="str">
        <f>IF(Masse_Décollage_11&gt;1400,"* DANGER : Avion hors centrage arrière, INTERDICTION de décoller !","")</f>
        <v/>
      </c>
      <c r="I20" s="792"/>
      <c r="J20" s="792"/>
      <c r="K20" s="792"/>
      <c r="M20" s="252" t="s">
        <v>144</v>
      </c>
      <c r="N20" s="708">
        <f>IF(Durée_Totale_Vol_11&gt;0,IF(N19="Jour",Consommation_minute_11*30,Consommation_minute_11*45),0)</f>
        <v>30.2</v>
      </c>
      <c r="O20" s="735"/>
      <c r="P20" s="9" t="s">
        <v>26</v>
      </c>
      <c r="Q20" s="719">
        <f>Q19/Q18</f>
        <v>81.953642384105962</v>
      </c>
      <c r="R20" s="719"/>
      <c r="S20" s="10"/>
      <c r="T20" s="13"/>
      <c r="U20" s="10"/>
      <c r="V20" s="10"/>
      <c r="W20" s="10"/>
      <c r="X20" s="10"/>
      <c r="Y20" s="10"/>
      <c r="Z20" s="10"/>
      <c r="AA20" s="10"/>
      <c r="AB20" s="14"/>
    </row>
    <row r="21" spans="2:28" ht="24.95" customHeight="1" x14ac:dyDescent="0.2">
      <c r="B21" s="376" t="s">
        <v>31</v>
      </c>
      <c r="C21" s="435">
        <v>1400</v>
      </c>
      <c r="D21" s="435">
        <f>Masse_Décollage_11</f>
        <v>1135.1000000000001</v>
      </c>
      <c r="E21" s="993" t="str">
        <f>IF(D21&lt;=Masse_Max_Décollage_11,"Ok !","DANGER !")</f>
        <v>Ok !</v>
      </c>
      <c r="F21" s="994"/>
      <c r="M21" s="1001" t="str">
        <f>IF(N19="Jour","** Réserve finale de carburant de 30 mn","** Réserve finale de carburant de 45 mn")</f>
        <v>** Réserve finale de carburant de 30 mn</v>
      </c>
      <c r="N21" s="1002"/>
      <c r="O21" s="735"/>
      <c r="P21" s="9" t="s">
        <v>27</v>
      </c>
      <c r="Q21" s="719">
        <f>ROUNDDOWN(Q20/60,0)</f>
        <v>1</v>
      </c>
      <c r="R21" s="719"/>
      <c r="S21" s="10"/>
      <c r="T21" s="13"/>
      <c r="U21" s="10"/>
      <c r="V21" s="10"/>
      <c r="W21" s="10"/>
      <c r="X21" s="10"/>
      <c r="Y21" s="10"/>
      <c r="Z21" s="10"/>
      <c r="AA21" s="10"/>
      <c r="AB21" s="14"/>
    </row>
    <row r="22" spans="2:28" ht="24.95" customHeight="1" thickBot="1" x14ac:dyDescent="0.25">
      <c r="B22" s="262" t="s">
        <v>32</v>
      </c>
      <c r="C22" s="266">
        <v>1400</v>
      </c>
      <c r="D22" s="266">
        <f>Masse_Décollage_11-(N24*Densité_Carburant_11)</f>
        <v>1077.1160000000002</v>
      </c>
      <c r="E22" s="817" t="str">
        <f>IF(D22&lt;=C22,"Ok !","DANGER !")</f>
        <v>Ok !</v>
      </c>
      <c r="F22" s="818"/>
      <c r="M22" s="252" t="s">
        <v>145</v>
      </c>
      <c r="N22" s="631">
        <f>(Consommation_horaire_11/60)*10</f>
        <v>10.066666666666666</v>
      </c>
      <c r="P22" s="9" t="s">
        <v>28</v>
      </c>
      <c r="Q22" s="719">
        <f>Q20-(Q21*60)</f>
        <v>21.953642384105962</v>
      </c>
      <c r="R22" s="719"/>
      <c r="S22" s="10"/>
      <c r="T22" s="13"/>
      <c r="U22" s="10"/>
      <c r="V22" s="10"/>
      <c r="W22" s="10"/>
      <c r="X22" s="10"/>
      <c r="Y22" s="10"/>
      <c r="Z22" s="10"/>
      <c r="AA22" s="10"/>
      <c r="AB22" s="14"/>
    </row>
    <row r="23" spans="2:28" ht="24.95" customHeight="1" thickBot="1" x14ac:dyDescent="0.4">
      <c r="B23" s="10" t="s">
        <v>74</v>
      </c>
      <c r="C23" s="13"/>
      <c r="D23" s="29">
        <f>C21-D21</f>
        <v>264.89999999999986</v>
      </c>
      <c r="M23" s="474" t="s">
        <v>146</v>
      </c>
      <c r="N23" s="453">
        <f>(Délestage_11-Carburant_Destination_11)/Carburant_Destination_11</f>
        <v>0.16666666666666671</v>
      </c>
      <c r="O23" s="735"/>
      <c r="P23" s="723"/>
      <c r="Q23" s="723"/>
      <c r="R23" s="723"/>
      <c r="S23" s="10"/>
      <c r="T23" s="13"/>
      <c r="U23" s="10"/>
      <c r="V23" s="10"/>
      <c r="W23" s="10"/>
      <c r="X23" s="10"/>
      <c r="Y23" s="10"/>
      <c r="Z23" s="10"/>
      <c r="AA23" s="10"/>
      <c r="AB23" s="14"/>
    </row>
    <row r="24" spans="2:28" ht="24.95" customHeight="1" thickBot="1" x14ac:dyDescent="0.25">
      <c r="M24" s="475" t="str">
        <f>UPPER("Carburant au bloc :")</f>
        <v>CARBURANT AU BLOC :</v>
      </c>
      <c r="N24" s="709">
        <f>Délestage_11+Carburant_Roulage_11</f>
        <v>80.533333333333331</v>
      </c>
      <c r="O24" s="738"/>
      <c r="P24" s="717" t="s">
        <v>93</v>
      </c>
      <c r="S24" s="10"/>
      <c r="T24" s="13"/>
      <c r="U24" s="10"/>
      <c r="V24" s="10"/>
      <c r="W24" s="10"/>
      <c r="X24" s="10"/>
      <c r="Y24" s="10"/>
      <c r="Z24" s="10"/>
      <c r="AA24" s="10"/>
      <c r="AB24" s="14"/>
    </row>
    <row r="25" spans="2:28" ht="24.95" customHeight="1" x14ac:dyDescent="0.2">
      <c r="G25" s="38" t="str">
        <f>IF(Moment_Décollage_11&gt;221708,"* DANGER : Avion hors centrage arrière, INTERDICTION de décoller !","")</f>
        <v/>
      </c>
      <c r="L25" s="38"/>
      <c r="M25" s="329" t="s">
        <v>139</v>
      </c>
      <c r="N25" s="644">
        <f>((Carburant_Bloc_11)/Durée_Totale_Vol_11)*60</f>
        <v>80.533333333333331</v>
      </c>
      <c r="O25" s="604"/>
      <c r="P25" s="724" t="s">
        <v>89</v>
      </c>
      <c r="Q25" s="725">
        <f>Masse_Décollage_11</f>
        <v>1135.1000000000001</v>
      </c>
      <c r="R25" s="725"/>
      <c r="S25" s="10"/>
      <c r="T25" s="13"/>
      <c r="U25" s="10"/>
      <c r="V25" s="10"/>
      <c r="W25" s="10"/>
      <c r="X25" s="10"/>
      <c r="Y25" s="10"/>
      <c r="Z25" s="10"/>
      <c r="AA25" s="10"/>
      <c r="AB25" s="14"/>
    </row>
    <row r="26" spans="2:28" ht="24.95" customHeight="1" x14ac:dyDescent="0.2">
      <c r="M26" s="133" t="s">
        <v>148</v>
      </c>
      <c r="N26" s="645">
        <f>(Carburant_Principal_11+Carburant_Secondaire_11)-Carburant_Bloc_11</f>
        <v>39.466666666666669</v>
      </c>
      <c r="P26" s="724" t="s">
        <v>90</v>
      </c>
      <c r="Q26" s="725">
        <f>Masse_Atterrissage_11</f>
        <v>1077.116</v>
      </c>
      <c r="R26" s="725"/>
      <c r="S26" s="10"/>
      <c r="T26" s="13"/>
      <c r="U26" s="10"/>
      <c r="V26" s="10"/>
      <c r="W26" s="10"/>
      <c r="X26" s="10"/>
      <c r="Y26" s="10"/>
      <c r="Z26" s="10"/>
      <c r="AA26" s="10"/>
      <c r="AB26" s="14"/>
    </row>
    <row r="27" spans="2:28" ht="24.95" customHeight="1" thickBot="1" x14ac:dyDescent="0.4">
      <c r="L27" s="12"/>
      <c r="M27" s="262" t="s">
        <v>263</v>
      </c>
      <c r="N27" s="646">
        <f>(Carburant_utilisable_11)-Carburant_Bloc_11</f>
        <v>29.466666666666669</v>
      </c>
      <c r="P27" s="723"/>
      <c r="Q27" s="723"/>
      <c r="R27" s="723"/>
      <c r="S27" s="10"/>
      <c r="T27" s="13"/>
      <c r="U27" s="10"/>
      <c r="V27" s="10"/>
      <c r="W27" s="10"/>
      <c r="X27" s="10"/>
      <c r="Y27" s="10"/>
      <c r="Z27" s="10"/>
      <c r="AA27" s="10"/>
      <c r="AB27" s="14"/>
    </row>
    <row r="28" spans="2:28" ht="24.95" customHeight="1" x14ac:dyDescent="0.2">
      <c r="N28" s="1"/>
      <c r="P28" s="726" t="s">
        <v>142</v>
      </c>
      <c r="R28" s="724"/>
      <c r="S28" s="10"/>
      <c r="T28" s="13"/>
      <c r="U28" s="10"/>
      <c r="V28" s="10"/>
      <c r="W28" s="10"/>
      <c r="X28" s="10"/>
      <c r="Y28" s="10"/>
      <c r="Z28" s="10"/>
      <c r="AA28" s="10"/>
      <c r="AB28" s="14"/>
    </row>
    <row r="29" spans="2:28" ht="24.95" customHeight="1" x14ac:dyDescent="0.2">
      <c r="P29" s="724" t="s">
        <v>100</v>
      </c>
      <c r="Q29" s="725">
        <f>C22</f>
        <v>1400</v>
      </c>
      <c r="R29" s="9">
        <v>462</v>
      </c>
      <c r="S29" s="10"/>
      <c r="T29" s="13"/>
      <c r="U29" s="10"/>
      <c r="V29" s="10"/>
      <c r="W29" s="10"/>
      <c r="X29" s="10"/>
      <c r="Y29" s="10"/>
      <c r="Z29" s="10"/>
      <c r="AA29" s="10"/>
    </row>
    <row r="30" spans="2:28" ht="24.95" customHeight="1" x14ac:dyDescent="0.2">
      <c r="P30" s="724" t="s">
        <v>101</v>
      </c>
      <c r="Q30" s="725">
        <f>D7</f>
        <v>884.7</v>
      </c>
      <c r="R30" s="9">
        <v>462</v>
      </c>
      <c r="S30" s="10"/>
      <c r="T30" s="13"/>
      <c r="U30" s="10"/>
      <c r="V30" s="10"/>
      <c r="W30" s="10"/>
      <c r="X30" s="10"/>
      <c r="Y30" s="10"/>
      <c r="Z30" s="10"/>
      <c r="AA30" s="10"/>
    </row>
    <row r="31" spans="2:28" ht="24.95" customHeight="1" x14ac:dyDescent="0.35">
      <c r="P31" s="723"/>
      <c r="Q31" s="723"/>
      <c r="R31" s="723"/>
      <c r="S31" s="10"/>
      <c r="T31" s="13"/>
      <c r="U31" s="10"/>
      <c r="V31" s="10"/>
      <c r="W31" s="10"/>
      <c r="X31" s="10"/>
      <c r="Y31" s="10"/>
      <c r="Z31" s="10"/>
      <c r="AA31" s="10"/>
    </row>
    <row r="32" spans="2:28" ht="24.95" customHeight="1" x14ac:dyDescent="0.35">
      <c r="P32" s="727" t="s">
        <v>136</v>
      </c>
      <c r="R32" s="9"/>
      <c r="S32" s="10"/>
      <c r="T32" s="13"/>
      <c r="U32" s="10"/>
      <c r="V32" s="10"/>
      <c r="W32" s="10"/>
      <c r="X32" s="10"/>
      <c r="Y32" s="10"/>
      <c r="Z32" s="10"/>
      <c r="AA32" s="10"/>
    </row>
    <row r="33" spans="13:27" ht="24.95" customHeight="1" x14ac:dyDescent="0.2">
      <c r="P33" s="728" t="s">
        <v>262</v>
      </c>
      <c r="Q33" s="729"/>
      <c r="R33" s="730">
        <f>$F$7/$S$33</f>
        <v>1.0126999999999999</v>
      </c>
      <c r="S33" s="27">
        <f>Masse_à_vide_11</f>
        <v>884.7</v>
      </c>
      <c r="T33" s="13"/>
      <c r="U33" s="10"/>
      <c r="V33" s="10"/>
      <c r="W33" s="10"/>
      <c r="X33" s="10"/>
      <c r="Y33" s="10"/>
      <c r="Z33" s="10"/>
      <c r="AA33" s="10"/>
    </row>
    <row r="34" spans="13:27" ht="24.95" customHeight="1" x14ac:dyDescent="0.2">
      <c r="P34" s="731" t="s">
        <v>86</v>
      </c>
      <c r="Q34" s="732"/>
      <c r="R34" s="730">
        <f>SUM($F$7:$F$9)/$S$34</f>
        <v>1.0337977183017233</v>
      </c>
      <c r="S34" s="27">
        <f>SUM($D$7:$D$9)</f>
        <v>1038.7</v>
      </c>
      <c r="T34" s="13"/>
      <c r="U34" s="10"/>
      <c r="V34" s="10"/>
      <c r="W34" s="10"/>
      <c r="X34" s="10"/>
      <c r="Y34" s="10"/>
      <c r="Z34" s="10"/>
      <c r="AA34" s="10"/>
    </row>
    <row r="35" spans="13:27" ht="24.95" customHeight="1" x14ac:dyDescent="0.2">
      <c r="P35" s="728" t="s">
        <v>81</v>
      </c>
      <c r="Q35" s="729"/>
      <c r="R35" s="730">
        <f>SUM($F$7:$F$10)/$S$35</f>
        <v>1.0337977183017233</v>
      </c>
      <c r="S35" s="27">
        <f>SUM($D$7:$D$11)</f>
        <v>1038.7</v>
      </c>
      <c r="T35" s="13"/>
      <c r="U35" s="10"/>
      <c r="V35" s="10"/>
      <c r="W35" s="10"/>
      <c r="X35" s="10"/>
      <c r="Y35" s="10"/>
      <c r="Z35" s="10"/>
      <c r="AA35" s="10"/>
    </row>
    <row r="36" spans="13:27" ht="24.95" customHeight="1" x14ac:dyDescent="0.2">
      <c r="P36" s="731" t="s">
        <v>82</v>
      </c>
      <c r="Q36" s="732"/>
      <c r="R36" s="730">
        <f>SUM($F$7:$F$12)/$S$36</f>
        <v>1.0487324210927813</v>
      </c>
      <c r="S36" s="27">
        <f>SUM($D$7:$D$12)</f>
        <v>1048.7</v>
      </c>
      <c r="T36" s="13"/>
      <c r="U36" s="10"/>
      <c r="V36" s="10"/>
      <c r="W36" s="10"/>
      <c r="X36" s="10"/>
      <c r="Y36" s="10"/>
      <c r="Z36" s="10"/>
      <c r="AA36" s="10"/>
    </row>
    <row r="37" spans="13:27" ht="24.95" customHeight="1" x14ac:dyDescent="0.2">
      <c r="P37" s="728" t="s">
        <v>83</v>
      </c>
      <c r="Q37" s="729"/>
      <c r="R37" s="730">
        <f>SUM($F$7:$F$12)/$S$37</f>
        <v>1.0487324210927813</v>
      </c>
      <c r="S37" s="27">
        <f>SUM($D$7:$D$12)</f>
        <v>1048.7</v>
      </c>
      <c r="T37" s="13"/>
      <c r="U37" s="10"/>
      <c r="V37" s="10"/>
      <c r="W37" s="10"/>
      <c r="X37" s="10"/>
      <c r="Y37" s="10"/>
      <c r="Z37" s="10"/>
      <c r="AA37" s="10"/>
    </row>
    <row r="38" spans="13:27" ht="24.95" customHeight="1" x14ac:dyDescent="0.2">
      <c r="P38" s="731" t="s">
        <v>84</v>
      </c>
      <c r="Q38" s="732"/>
      <c r="R38" s="730">
        <f>SUM($F$7:$F$13)/$S$38</f>
        <v>1.0514929874019907</v>
      </c>
      <c r="S38" s="27">
        <f>SUM($D$7:$D$13)</f>
        <v>1135.1000000000001</v>
      </c>
      <c r="T38" s="13"/>
      <c r="U38" s="10"/>
      <c r="V38" s="10"/>
      <c r="W38" s="10"/>
      <c r="X38" s="10"/>
      <c r="Y38" s="10"/>
      <c r="Z38" s="10"/>
      <c r="AA38" s="10"/>
    </row>
    <row r="39" spans="13:27" ht="24.95" customHeight="1" x14ac:dyDescent="0.2">
      <c r="P39" s="728" t="s">
        <v>115</v>
      </c>
      <c r="Q39" s="730">
        <f>Moment_Décollage_11</f>
        <v>1193.5496899999998</v>
      </c>
      <c r="R39" s="733">
        <f>E14</f>
        <v>1.0514929874019907</v>
      </c>
      <c r="S39" s="53">
        <f>Q39/R39</f>
        <v>1135.1000000000001</v>
      </c>
      <c r="T39" s="13"/>
      <c r="U39" s="10"/>
      <c r="V39" s="10"/>
      <c r="W39" s="10"/>
      <c r="X39" s="10"/>
      <c r="Y39" s="10"/>
      <c r="Z39" s="10"/>
      <c r="AA39" s="10"/>
    </row>
    <row r="40" spans="13:27" ht="24.95" customHeight="1" x14ac:dyDescent="0.2">
      <c r="P40" s="728" t="s">
        <v>116</v>
      </c>
      <c r="Q40" s="730">
        <f>Moment_Atterrissage_11</f>
        <v>1130.63705</v>
      </c>
      <c r="R40" s="733">
        <f>V13</f>
        <v>1.0496892163889497</v>
      </c>
      <c r="S40" s="53">
        <f>Q40/R40</f>
        <v>1077.116</v>
      </c>
      <c r="T40" s="13"/>
      <c r="U40" s="10"/>
      <c r="V40" s="10"/>
      <c r="W40" s="10"/>
      <c r="X40" s="10"/>
      <c r="Y40" s="10"/>
      <c r="Z40" s="10"/>
      <c r="AA40" s="10"/>
    </row>
    <row r="41" spans="13:27" ht="24.95" customHeight="1" thickBot="1" x14ac:dyDescent="0.25">
      <c r="S41" s="10"/>
      <c r="T41" s="13"/>
      <c r="U41" s="10"/>
      <c r="V41" s="10"/>
      <c r="W41" s="10"/>
      <c r="X41" s="10"/>
      <c r="Y41" s="10"/>
      <c r="Z41" s="10"/>
      <c r="AA41" s="10"/>
    </row>
    <row r="42" spans="13:27" ht="24.95" customHeight="1" x14ac:dyDescent="0.2">
      <c r="M42" s="995" t="s">
        <v>18</v>
      </c>
      <c r="N42" s="996"/>
      <c r="S42" s="10"/>
      <c r="T42" s="13"/>
      <c r="U42" s="10"/>
      <c r="V42" s="10"/>
      <c r="W42" s="10"/>
      <c r="X42" s="10"/>
      <c r="Y42" s="10"/>
      <c r="Z42" s="10"/>
      <c r="AA42" s="10"/>
    </row>
    <row r="43" spans="13:27" ht="24.95" customHeight="1" x14ac:dyDescent="0.2">
      <c r="M43" s="1026"/>
      <c r="N43" s="1027"/>
      <c r="S43" s="10"/>
      <c r="T43" s="13"/>
      <c r="U43" s="10"/>
      <c r="V43" s="10"/>
      <c r="W43" s="10"/>
    </row>
    <row r="44" spans="13:27" ht="24.95" customHeight="1" x14ac:dyDescent="0.2">
      <c r="M44" s="1026"/>
      <c r="N44" s="1027"/>
      <c r="P44" s="9">
        <v>800</v>
      </c>
      <c r="Q44" s="705">
        <v>0.94199999999999995</v>
      </c>
      <c r="R44" s="705">
        <f>P44*Q44</f>
        <v>753.59999999999991</v>
      </c>
      <c r="S44" s="10"/>
      <c r="T44" s="13"/>
      <c r="U44" s="10"/>
      <c r="V44" s="10"/>
      <c r="W44" s="10"/>
    </row>
    <row r="45" spans="13:27" ht="24.95" customHeight="1" x14ac:dyDescent="0.2">
      <c r="M45" s="1026"/>
      <c r="N45" s="1027"/>
      <c r="P45" s="9">
        <v>846.5</v>
      </c>
      <c r="Q45" s="705">
        <f>P45/R45</f>
        <v>1.0403096964483225</v>
      </c>
      <c r="R45" s="705">
        <v>813.7</v>
      </c>
      <c r="S45" s="10"/>
      <c r="T45" s="13"/>
      <c r="U45" s="10"/>
      <c r="V45" s="10"/>
      <c r="W45" s="10"/>
    </row>
    <row r="46" spans="13:27" ht="24.95" customHeight="1" x14ac:dyDescent="0.2">
      <c r="M46" s="1026"/>
      <c r="N46" s="1027"/>
      <c r="R46" s="705">
        <v>60.1</v>
      </c>
      <c r="S46" s="10"/>
      <c r="T46" s="13"/>
      <c r="U46" s="10"/>
      <c r="V46" s="10"/>
      <c r="W46" s="10"/>
    </row>
    <row r="47" spans="13:27" ht="24.95" customHeight="1" x14ac:dyDescent="0.2">
      <c r="M47" s="1026"/>
      <c r="N47" s="1027"/>
      <c r="R47" s="705">
        <f>R44+R46</f>
        <v>813.69999999999993</v>
      </c>
      <c r="S47" s="10"/>
      <c r="T47" s="13"/>
      <c r="U47" s="10"/>
      <c r="V47" s="10"/>
      <c r="W47" s="10"/>
    </row>
    <row r="48" spans="13:27" ht="24.95" customHeight="1" x14ac:dyDescent="0.2">
      <c r="M48" s="1026"/>
      <c r="N48" s="1027"/>
      <c r="Q48" s="705">
        <v>0.94199999999999995</v>
      </c>
      <c r="S48" s="14"/>
      <c r="T48" s="18"/>
      <c r="U48" s="14"/>
      <c r="V48" s="14"/>
      <c r="W48" s="14"/>
    </row>
    <row r="49" spans="13:23" ht="24.95" customHeight="1" thickBot="1" x14ac:dyDescent="0.25">
      <c r="M49" s="1028"/>
      <c r="N49" s="1029"/>
      <c r="Q49" s="705">
        <v>1.292</v>
      </c>
      <c r="S49" s="14"/>
      <c r="T49" s="18"/>
      <c r="U49" s="14"/>
      <c r="V49" s="14"/>
      <c r="W49" s="14"/>
    </row>
    <row r="50" spans="13:23" ht="24.95" customHeight="1" x14ac:dyDescent="0.2">
      <c r="Q50" s="705">
        <f>AVERAGE(Q48:Q49)</f>
        <v>1.117</v>
      </c>
      <c r="S50" s="14"/>
      <c r="T50" s="18"/>
      <c r="U50" s="14"/>
      <c r="V50" s="14"/>
      <c r="W50" s="14"/>
    </row>
    <row r="51" spans="13:23" x14ac:dyDescent="0.2">
      <c r="Q51" s="705">
        <f>(100/8.5)*2.5</f>
        <v>29.411764705882355</v>
      </c>
      <c r="S51" s="14"/>
      <c r="T51" s="18"/>
      <c r="U51" s="14"/>
      <c r="V51" s="14"/>
      <c r="W51" s="14"/>
    </row>
    <row r="52" spans="13:23" x14ac:dyDescent="0.2">
      <c r="S52" s="14"/>
      <c r="T52" s="18"/>
      <c r="U52" s="14"/>
      <c r="V52" s="14"/>
      <c r="W52" s="14"/>
    </row>
  </sheetData>
  <sheetProtection algorithmName="SHA-512" hashValue="Ji0L0F+dcTek2l34meUb4OOmlbftsZBqfvvoNKUU/MnXfbnvwzYDyL8fx4gQ7T4zhuQ0aqJcXJsdvd76IZl/lA==" saltValue="GR8A+fYJPFex3SZO4s71fQ==" spinCount="100000" sheet="1" objects="1" scenarios="1" selectLockedCells="1"/>
  <mergeCells count="38">
    <mergeCell ref="B1:N1"/>
    <mergeCell ref="B2:C2"/>
    <mergeCell ref="D2:E2"/>
    <mergeCell ref="G2:H2"/>
    <mergeCell ref="I2:J2"/>
    <mergeCell ref="M2:N2"/>
    <mergeCell ref="C5:F5"/>
    <mergeCell ref="H5:I5"/>
    <mergeCell ref="M5:N5"/>
    <mergeCell ref="H6:I6"/>
    <mergeCell ref="J6:K6"/>
    <mergeCell ref="B3:C3"/>
    <mergeCell ref="D3:F3"/>
    <mergeCell ref="I3:J3"/>
    <mergeCell ref="M3:N3"/>
    <mergeCell ref="M4:N4"/>
    <mergeCell ref="S7:T7"/>
    <mergeCell ref="H8:J8"/>
    <mergeCell ref="H10:K10"/>
    <mergeCell ref="M13:N13"/>
    <mergeCell ref="M14:N14"/>
    <mergeCell ref="S14:W14"/>
    <mergeCell ref="H9:J9"/>
    <mergeCell ref="H7:K7"/>
    <mergeCell ref="B15:F15"/>
    <mergeCell ref="M15:N15"/>
    <mergeCell ref="M43:N49"/>
    <mergeCell ref="D16:E16"/>
    <mergeCell ref="D17:E17"/>
    <mergeCell ref="B18:F18"/>
    <mergeCell ref="B19:F19"/>
    <mergeCell ref="B20:C20"/>
    <mergeCell ref="E20:F20"/>
    <mergeCell ref="H20:K20"/>
    <mergeCell ref="E21:F21"/>
    <mergeCell ref="M21:N21"/>
    <mergeCell ref="E22:F22"/>
    <mergeCell ref="M42:N42"/>
  </mergeCells>
  <conditionalFormatting sqref="B15:F15">
    <cfRule type="cellIs" dxfId="27" priority="22" operator="equal">
      <formula>"* ATTENTION ! Le total carburant est supérieur à la capacité totale !"</formula>
    </cfRule>
  </conditionalFormatting>
  <conditionalFormatting sqref="B18:F18">
    <cfRule type="cellIs" dxfId="26" priority="21" operator="equal">
      <formula>"* ATTENTION ! La masse max au décollage est dépassée !"</formula>
    </cfRule>
  </conditionalFormatting>
  <conditionalFormatting sqref="C14">
    <cfRule type="cellIs" dxfId="25" priority="23" operator="greaterThan">
      <formula>336</formula>
    </cfRule>
  </conditionalFormatting>
  <conditionalFormatting sqref="D12">
    <cfRule type="cellIs" dxfId="24" priority="11" operator="greaterThan">
      <formula>65</formula>
    </cfRule>
  </conditionalFormatting>
  <conditionalFormatting sqref="D14">
    <cfRule type="cellIs" dxfId="23" priority="5" operator="greaterThan">
      <formula>$C$21</formula>
    </cfRule>
  </conditionalFormatting>
  <conditionalFormatting sqref="D21">
    <cfRule type="cellIs" dxfId="22" priority="14" operator="greaterThan">
      <formula>$C$21</formula>
    </cfRule>
  </conditionalFormatting>
  <conditionalFormatting sqref="D22">
    <cfRule type="cellIs" dxfId="21" priority="13" operator="greaterThan">
      <formula>$C$22</formula>
    </cfRule>
  </conditionalFormatting>
  <conditionalFormatting sqref="E21:E22">
    <cfRule type="cellIs" dxfId="20" priority="15" operator="equal">
      <formula>"DANGER !"</formula>
    </cfRule>
    <cfRule type="cellIs" dxfId="19" priority="16" operator="equal">
      <formula>"Ok !"</formula>
    </cfRule>
  </conditionalFormatting>
  <conditionalFormatting sqref="F16">
    <cfRule type="cellIs" dxfId="18" priority="24" operator="greaterThan">
      <formula>1400</formula>
    </cfRule>
    <cfRule type="cellIs" dxfId="17" priority="27" operator="equal">
      <formula>"DANGER"</formula>
    </cfRule>
  </conditionalFormatting>
  <conditionalFormatting sqref="G25">
    <cfRule type="cellIs" dxfId="16" priority="20" operator="equal">
      <formula>"* DANGER : Avion hors centrage arrière, INTERDICTION de décoller !"</formula>
    </cfRule>
  </conditionalFormatting>
  <conditionalFormatting sqref="H20">
    <cfRule type="cellIs" dxfId="15" priority="9" operator="equal">
      <formula>"* DANGER : Avion hors centrage arrière, INTERDICTION de décoller !"</formula>
    </cfRule>
  </conditionalFormatting>
  <conditionalFormatting sqref="H7:K7">
    <cfRule type="cellIs" dxfId="14" priority="6" operator="equal">
      <formula>"* Minimum 1 aérodrome de destination"</formula>
    </cfRule>
  </conditionalFormatting>
  <conditionalFormatting sqref="J6">
    <cfRule type="cellIs" dxfId="13" priority="1" operator="equal">
      <formula>"Erreur !"</formula>
    </cfRule>
  </conditionalFormatting>
  <conditionalFormatting sqref="K9">
    <cfRule type="cellIs" dxfId="12" priority="7" operator="lessThanOrEqual">
      <formula>0</formula>
    </cfRule>
  </conditionalFormatting>
  <conditionalFormatting sqref="M15">
    <cfRule type="cellIs" dxfId="11" priority="25" operator="equal">
      <formula>"DANGER - Total carburant insuffisant !"</formula>
    </cfRule>
    <cfRule type="cellIs" dxfId="10" priority="28" operator="equal">
      <formula>"OK - Quantité de carburant suffisante"</formula>
    </cfRule>
  </conditionalFormatting>
  <conditionalFormatting sqref="M21">
    <cfRule type="cellIs" dxfId="9" priority="3" operator="equal">
      <formula>"** Réserve finale de carburant de 45 mn"</formula>
    </cfRule>
    <cfRule type="cellIs" dxfId="8" priority="4" operator="equal">
      <formula>"** Réserve finale de carburant de 30 mn"</formula>
    </cfRule>
  </conditionalFormatting>
  <conditionalFormatting sqref="M13:N13">
    <cfRule type="cellIs" dxfId="7" priority="17" operator="equal">
      <formula>"Capacité carburant Ok !"</formula>
    </cfRule>
    <cfRule type="cellIs" dxfId="6" priority="18" operator="equal">
      <formula>"ERREUR capacité carburant !"</formula>
    </cfRule>
  </conditionalFormatting>
  <conditionalFormatting sqref="N7">
    <cfRule type="cellIs" dxfId="5" priority="26" operator="greaterThan">
      <formula>336</formula>
    </cfRule>
  </conditionalFormatting>
  <conditionalFormatting sqref="N8:N9">
    <cfRule type="cellIs" dxfId="4" priority="12" operator="greaterThan">
      <formula>168</formula>
    </cfRule>
  </conditionalFormatting>
  <conditionalFormatting sqref="N10">
    <cfRule type="cellIs" dxfId="3" priority="19" operator="greaterThan">
      <formula>326</formula>
    </cfRule>
  </conditionalFormatting>
  <conditionalFormatting sqref="N24">
    <cfRule type="expression" dxfId="2" priority="10">
      <formula>$N$24&gt;$N$10</formula>
    </cfRule>
  </conditionalFormatting>
  <conditionalFormatting sqref="N26:N27">
    <cfRule type="cellIs" dxfId="1" priority="8" operator="lessThan">
      <formula>0</formula>
    </cfRule>
  </conditionalFormatting>
  <conditionalFormatting sqref="T12">
    <cfRule type="cellIs" dxfId="0" priority="2" operator="lessThan">
      <formula>0</formula>
    </cfRule>
  </conditionalFormatting>
  <dataValidations count="1">
    <dataValidation type="list" allowBlank="1" showInputMessage="1" showErrorMessage="1" sqref="N19" xr:uid="{FD9ED228-4539-4AD1-A00E-C30BDF8D6E05}">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2B0D5-544E-4B10-9989-33B262D9D486}">
  <dimension ref="B3:H22"/>
  <sheetViews>
    <sheetView workbookViewId="0">
      <selection activeCell="J8" sqref="J8"/>
    </sheetView>
  </sheetViews>
  <sheetFormatPr baseColWidth="10" defaultRowHeight="12.75" x14ac:dyDescent="0.2"/>
  <cols>
    <col min="1" max="3" width="11.42578125" style="87"/>
    <col min="4" max="4" width="11.42578125" style="91"/>
    <col min="5" max="16384" width="11.42578125" style="87"/>
  </cols>
  <sheetData>
    <row r="3" spans="2:8" x14ac:dyDescent="0.2">
      <c r="C3" s="88" t="s">
        <v>123</v>
      </c>
      <c r="D3" s="89"/>
      <c r="E3" s="88"/>
      <c r="F3" s="88"/>
      <c r="G3" s="88" t="s">
        <v>129</v>
      </c>
    </row>
    <row r="5" spans="2:8" x14ac:dyDescent="0.2">
      <c r="B5" s="87">
        <v>550</v>
      </c>
      <c r="C5" s="90">
        <v>0.29699999999999999</v>
      </c>
      <c r="D5" s="91">
        <f t="shared" ref="D5:D10" si="0">B5*C5</f>
        <v>163.35</v>
      </c>
      <c r="F5" s="87">
        <v>546.5</v>
      </c>
      <c r="G5" s="90">
        <v>0.34599999999999997</v>
      </c>
      <c r="H5" s="92">
        <f t="shared" ref="H5:H10" si="1">F5*G5</f>
        <v>189.089</v>
      </c>
    </row>
    <row r="6" spans="2:8" x14ac:dyDescent="0.2">
      <c r="B6" s="87">
        <v>85</v>
      </c>
      <c r="C6" s="90">
        <v>0.6</v>
      </c>
      <c r="D6" s="91">
        <f t="shared" si="0"/>
        <v>51</v>
      </c>
      <c r="F6" s="87">
        <v>85</v>
      </c>
      <c r="G6" s="90">
        <v>0.6</v>
      </c>
      <c r="H6" s="92">
        <f t="shared" si="1"/>
        <v>51</v>
      </c>
    </row>
    <row r="7" spans="2:8" x14ac:dyDescent="0.2">
      <c r="B7" s="87">
        <v>75</v>
      </c>
      <c r="C7" s="90">
        <v>0.6</v>
      </c>
      <c r="D7" s="91">
        <f t="shared" si="0"/>
        <v>45</v>
      </c>
      <c r="F7" s="87">
        <v>75</v>
      </c>
      <c r="G7" s="90">
        <v>0.6</v>
      </c>
      <c r="H7" s="92">
        <f t="shared" si="1"/>
        <v>45</v>
      </c>
    </row>
    <row r="8" spans="2:8" x14ac:dyDescent="0.2">
      <c r="B8" s="87">
        <v>25</v>
      </c>
      <c r="C8" s="90">
        <v>-0.24299999999999999</v>
      </c>
      <c r="D8" s="91">
        <f t="shared" si="0"/>
        <v>-6.0750000000000002</v>
      </c>
      <c r="F8" s="87">
        <v>40</v>
      </c>
      <c r="G8" s="90">
        <v>-0.24299999999999999</v>
      </c>
      <c r="H8" s="92">
        <f t="shared" si="1"/>
        <v>-9.7199999999999989</v>
      </c>
    </row>
    <row r="9" spans="2:8" x14ac:dyDescent="0.2">
      <c r="B9" s="87">
        <v>45</v>
      </c>
      <c r="C9" s="90">
        <v>1.26</v>
      </c>
      <c r="D9" s="91">
        <f t="shared" si="0"/>
        <v>56.7</v>
      </c>
      <c r="G9" s="90">
        <v>1.26</v>
      </c>
      <c r="H9" s="92">
        <f t="shared" si="1"/>
        <v>0</v>
      </c>
    </row>
    <row r="10" spans="2:8" x14ac:dyDescent="0.2">
      <c r="B10" s="87">
        <v>40</v>
      </c>
      <c r="C10" s="90">
        <v>1.5</v>
      </c>
      <c r="D10" s="91">
        <f t="shared" si="0"/>
        <v>60</v>
      </c>
      <c r="G10" s="90">
        <v>1.5</v>
      </c>
      <c r="H10" s="92">
        <f t="shared" si="1"/>
        <v>0</v>
      </c>
    </row>
    <row r="11" spans="2:8" x14ac:dyDescent="0.2">
      <c r="B11" s="87">
        <f>SUM(B5:B10)</f>
        <v>820</v>
      </c>
      <c r="C11" s="90">
        <f>D11/B11</f>
        <v>0.45118902439024394</v>
      </c>
      <c r="D11" s="91">
        <f>SUM(D5:D10)</f>
        <v>369.97500000000002</v>
      </c>
      <c r="F11" s="87">
        <f>SUM(F5:F10)</f>
        <v>746.5</v>
      </c>
      <c r="G11" s="90">
        <f>H11/F11</f>
        <v>0.36888010716677833</v>
      </c>
      <c r="H11" s="92">
        <f>SUM(H5:H10)</f>
        <v>275.36900000000003</v>
      </c>
    </row>
    <row r="12" spans="2:8" x14ac:dyDescent="0.2">
      <c r="C12" s="93">
        <f>C11/1.5</f>
        <v>0.30079268292682931</v>
      </c>
      <c r="G12" s="94">
        <f>G11/1.5</f>
        <v>0.24592007144451888</v>
      </c>
      <c r="H12" s="92"/>
    </row>
    <row r="13" spans="2:8" x14ac:dyDescent="0.2">
      <c r="H13" s="92"/>
    </row>
    <row r="14" spans="2:8" x14ac:dyDescent="0.2">
      <c r="H14" s="92"/>
    </row>
    <row r="15" spans="2:8" x14ac:dyDescent="0.2">
      <c r="B15" s="87">
        <v>550</v>
      </c>
      <c r="C15" s="90">
        <v>0.29699999999999999</v>
      </c>
      <c r="D15" s="91">
        <f t="shared" ref="D15:D20" si="2">B15*C15</f>
        <v>163.35</v>
      </c>
      <c r="F15" s="87">
        <v>546.5</v>
      </c>
      <c r="G15" s="90">
        <v>0.34599999999999997</v>
      </c>
      <c r="H15" s="92">
        <f t="shared" ref="H15:H20" si="3">F15*G15</f>
        <v>189.089</v>
      </c>
    </row>
    <row r="16" spans="2:8" x14ac:dyDescent="0.2">
      <c r="B16" s="87">
        <v>85</v>
      </c>
      <c r="C16" s="90">
        <v>0.6</v>
      </c>
      <c r="D16" s="91">
        <f t="shared" si="2"/>
        <v>51</v>
      </c>
      <c r="F16" s="87">
        <v>85</v>
      </c>
      <c r="G16" s="90">
        <v>0.6</v>
      </c>
      <c r="H16" s="92">
        <f t="shared" si="3"/>
        <v>51</v>
      </c>
    </row>
    <row r="17" spans="2:8" x14ac:dyDescent="0.2">
      <c r="B17" s="87">
        <v>75</v>
      </c>
      <c r="C17" s="90">
        <v>0.6</v>
      </c>
      <c r="D17" s="91">
        <f t="shared" si="2"/>
        <v>45</v>
      </c>
      <c r="F17" s="87">
        <v>75</v>
      </c>
      <c r="G17" s="90">
        <v>0.6</v>
      </c>
      <c r="H17" s="92">
        <f t="shared" si="3"/>
        <v>45</v>
      </c>
    </row>
    <row r="18" spans="2:8" x14ac:dyDescent="0.2">
      <c r="B18" s="87">
        <v>10</v>
      </c>
      <c r="C18" s="90">
        <v>-0.24299999999999999</v>
      </c>
      <c r="D18" s="91">
        <f t="shared" si="2"/>
        <v>-2.4299999999999997</v>
      </c>
      <c r="F18" s="87">
        <v>15</v>
      </c>
      <c r="G18" s="90">
        <v>-0.24299999999999999</v>
      </c>
      <c r="H18" s="92">
        <f t="shared" si="3"/>
        <v>-3.645</v>
      </c>
    </row>
    <row r="19" spans="2:8" x14ac:dyDescent="0.2">
      <c r="B19" s="87">
        <v>0</v>
      </c>
      <c r="C19" s="90">
        <v>1.26</v>
      </c>
      <c r="D19" s="91">
        <f t="shared" si="2"/>
        <v>0</v>
      </c>
      <c r="G19" s="90">
        <v>1.26</v>
      </c>
      <c r="H19" s="92">
        <f t="shared" si="3"/>
        <v>0</v>
      </c>
    </row>
    <row r="20" spans="2:8" x14ac:dyDescent="0.2">
      <c r="B20" s="87">
        <v>40</v>
      </c>
      <c r="C20" s="90">
        <v>1.5</v>
      </c>
      <c r="D20" s="91">
        <f t="shared" si="2"/>
        <v>60</v>
      </c>
      <c r="G20" s="90">
        <v>1.5</v>
      </c>
      <c r="H20" s="92">
        <f t="shared" si="3"/>
        <v>0</v>
      </c>
    </row>
    <row r="21" spans="2:8" x14ac:dyDescent="0.2">
      <c r="B21" s="87">
        <f>SUM(B15:B20)</f>
        <v>760</v>
      </c>
      <c r="C21" s="90">
        <f>D21/B21</f>
        <v>0.41700000000000004</v>
      </c>
      <c r="D21" s="91">
        <f>SUM(D15:D20)</f>
        <v>316.92</v>
      </c>
      <c r="F21" s="87">
        <f>SUM(F15:F20)</f>
        <v>721.5</v>
      </c>
      <c r="G21" s="90">
        <f>H21/F21</f>
        <v>0.39008177408177408</v>
      </c>
      <c r="H21" s="92">
        <f>SUM(H15:H20)</f>
        <v>281.44400000000002</v>
      </c>
    </row>
    <row r="22" spans="2:8" x14ac:dyDescent="0.2">
      <c r="C22" s="93">
        <f>C21/1.5</f>
        <v>0.27800000000000002</v>
      </c>
      <c r="G22" s="93">
        <f>G21/1.5</f>
        <v>0.26005451605451607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12D8-6995-4932-B511-D9F661E5F4A4}">
  <sheetPr>
    <tabColor rgb="FFFFC000"/>
    <pageSetUpPr fitToPage="1"/>
  </sheetPr>
  <dimension ref="A1:T2"/>
  <sheetViews>
    <sheetView topLeftCell="B41" zoomScale="85" zoomScaleNormal="85" workbookViewId="0">
      <selection activeCell="T59" sqref="A1:T59"/>
    </sheetView>
  </sheetViews>
  <sheetFormatPr baseColWidth="10" defaultRowHeight="24.95" customHeight="1" x14ac:dyDescent="0.2"/>
  <cols>
    <col min="1" max="16384" width="11.42578125" style="44"/>
  </cols>
  <sheetData>
    <row r="1" spans="1:20" ht="24.95" customHeight="1" x14ac:dyDescent="0.2">
      <c r="A1" s="772" t="s">
        <v>140</v>
      </c>
      <c r="B1" s="773"/>
      <c r="C1" s="773"/>
      <c r="D1" s="773"/>
      <c r="E1" s="773"/>
      <c r="F1" s="773"/>
      <c r="G1" s="773"/>
      <c r="H1" s="773"/>
      <c r="I1" s="773"/>
      <c r="J1" s="773"/>
      <c r="K1" s="773"/>
      <c r="L1" s="773"/>
      <c r="M1" s="773"/>
      <c r="N1" s="773"/>
      <c r="O1" s="773"/>
      <c r="P1" s="773"/>
      <c r="Q1" s="773"/>
      <c r="R1" s="773"/>
      <c r="S1" s="773"/>
      <c r="T1" s="774"/>
    </row>
    <row r="2" spans="1:20" ht="24.95" customHeight="1" thickBot="1" x14ac:dyDescent="0.25">
      <c r="A2" s="775"/>
      <c r="B2" s="776"/>
      <c r="C2" s="776"/>
      <c r="D2" s="776"/>
      <c r="E2" s="776"/>
      <c r="F2" s="776"/>
      <c r="G2" s="776"/>
      <c r="H2" s="776"/>
      <c r="I2" s="776"/>
      <c r="J2" s="776"/>
      <c r="K2" s="776"/>
      <c r="L2" s="776"/>
      <c r="M2" s="776"/>
      <c r="N2" s="776"/>
      <c r="O2" s="776"/>
      <c r="P2" s="776"/>
      <c r="Q2" s="776"/>
      <c r="R2" s="776"/>
      <c r="S2" s="776"/>
      <c r="T2" s="777"/>
    </row>
  </sheetData>
  <sheetProtection algorithmName="SHA-512" hashValue="skm+z2TDWXSS4DQ9OlQuFHnM/LXaxcgiksf8Nd7Iv04bBHC3rc6DqhW5GDmv0cmpn35dxU0lTGH61nTKhIDRbw==" saltValue="SQ5l0AYgXXzTvQh0l79NKg==" spinCount="100000" sheet="1" objects="1" scenarios="1" selectLockedCells="1" selectUnlockedCells="1"/>
  <mergeCells count="1">
    <mergeCell ref="A1:T2"/>
  </mergeCells>
  <printOptions horizontalCentered="1"/>
  <pageMargins left="0.19685039370078741" right="0.19685039370078741" top="0.19685039370078741" bottom="0.19685039370078741" header="0.31496062992125984" footer="0.31496062992125984"/>
  <pageSetup paperSize="9" scale="44" orientation="portrait" horizontalDpi="1200" verticalDpi="1200" r:id="rId1"/>
  <headerFooter>
    <oddFooter>&amp;C&amp;"Book Antiqua,Normal"&amp;11&amp;F&amp;A</oddFooter>
  </headerFooter>
  <rowBreaks count="1" manualBreakCount="1">
    <brk id="39" max="1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F1C1E-ACDF-486E-A32C-CD6ECE957BF6}">
  <sheetPr>
    <tabColor rgb="FFFFC000"/>
    <pageSetUpPr fitToPage="1"/>
  </sheetPr>
  <dimension ref="A1:AO26"/>
  <sheetViews>
    <sheetView zoomScale="85" zoomScaleNormal="85" workbookViewId="0">
      <pane ySplit="3" topLeftCell="A4" activePane="bottomLeft" state="frozenSplit"/>
      <selection pane="bottomLeft" activeCell="F3" sqref="F3"/>
    </sheetView>
  </sheetViews>
  <sheetFormatPr baseColWidth="10" defaultRowHeight="24.95" customHeight="1" x14ac:dyDescent="0.2"/>
  <cols>
    <col min="1" max="9" width="11.42578125" style="548"/>
    <col min="10" max="10" width="56" style="549" customWidth="1"/>
    <col min="11" max="11" width="20.7109375" style="549" customWidth="1"/>
    <col min="12" max="12" width="14.28515625" style="547" bestFit="1" customWidth="1"/>
    <col min="13" max="13" width="20.7109375" style="550" customWidth="1"/>
    <col min="14" max="14" width="20.7109375" style="546" customWidth="1"/>
    <col min="15" max="15" width="40.7109375" style="547" bestFit="1" customWidth="1"/>
    <col min="16" max="20" width="11.42578125" style="547"/>
    <col min="21" max="22" width="11.42578125" style="547" customWidth="1"/>
    <col min="23" max="23" width="43.140625" style="547" bestFit="1" customWidth="1"/>
    <col min="24" max="41" width="11.42578125" style="547"/>
    <col min="42" max="16384" width="11.42578125" style="548"/>
  </cols>
  <sheetData>
    <row r="1" spans="1:26" ht="35.1" customHeight="1" thickBot="1" x14ac:dyDescent="0.25">
      <c r="A1" s="779" t="s">
        <v>231</v>
      </c>
      <c r="B1" s="780"/>
      <c r="C1" s="780"/>
      <c r="D1" s="780"/>
      <c r="E1" s="780"/>
      <c r="F1" s="780"/>
      <c r="G1" s="780"/>
      <c r="H1" s="780"/>
      <c r="I1" s="780"/>
      <c r="J1" s="780"/>
      <c r="K1" s="781"/>
      <c r="L1" s="545"/>
      <c r="M1" s="545"/>
    </row>
    <row r="2" spans="1:26" ht="14.25" customHeight="1" thickBot="1" x14ac:dyDescent="0.25"/>
    <row r="3" spans="1:26" ht="24.95" customHeight="1" thickBot="1" x14ac:dyDescent="0.25">
      <c r="A3" s="782" t="s">
        <v>181</v>
      </c>
      <c r="B3" s="782"/>
      <c r="C3" s="782"/>
      <c r="D3" s="782"/>
      <c r="E3" s="782"/>
      <c r="F3" s="552">
        <v>60</v>
      </c>
      <c r="G3" s="783"/>
      <c r="H3" s="784"/>
      <c r="I3" s="784"/>
      <c r="J3" s="784"/>
      <c r="K3" s="784"/>
    </row>
    <row r="5" spans="1:26" ht="24.95" customHeight="1" x14ac:dyDescent="0.2">
      <c r="L5" s="778" t="s">
        <v>177</v>
      </c>
      <c r="M5" s="550" t="s">
        <v>230</v>
      </c>
      <c r="N5" s="551">
        <f>Valeur_à_convertir/1.852</f>
        <v>32.39740820734341</v>
      </c>
      <c r="O5" s="547" t="s">
        <v>202</v>
      </c>
      <c r="U5" s="546"/>
      <c r="V5" s="546"/>
      <c r="Z5" s="547" t="s">
        <v>178</v>
      </c>
    </row>
    <row r="6" spans="1:26" ht="24.95" customHeight="1" x14ac:dyDescent="0.2">
      <c r="L6" s="778"/>
      <c r="M6" s="550" t="s">
        <v>182</v>
      </c>
      <c r="N6" s="551">
        <f>Valeur_à_convertir*1.852</f>
        <v>111.12</v>
      </c>
      <c r="O6" s="547" t="s">
        <v>203</v>
      </c>
      <c r="U6" s="546"/>
      <c r="V6" s="546"/>
      <c r="Z6" s="547" t="s">
        <v>0</v>
      </c>
    </row>
    <row r="7" spans="1:26" ht="24.95" customHeight="1" x14ac:dyDescent="0.2">
      <c r="L7" s="778" t="s">
        <v>173</v>
      </c>
      <c r="M7" s="550" t="s">
        <v>184</v>
      </c>
      <c r="N7" s="551">
        <f>Valeur_à_convertir*2.205</f>
        <v>132.30000000000001</v>
      </c>
      <c r="O7" s="547" t="s">
        <v>204</v>
      </c>
      <c r="U7" s="546"/>
      <c r="V7" s="546"/>
      <c r="Z7" s="547" t="s">
        <v>179</v>
      </c>
    </row>
    <row r="8" spans="1:26" ht="24.95" customHeight="1" x14ac:dyDescent="0.2">
      <c r="L8" s="778"/>
      <c r="M8" s="550" t="s">
        <v>183</v>
      </c>
      <c r="N8" s="551">
        <f>Valeur_à_convertir/2.205</f>
        <v>27.210884353741495</v>
      </c>
      <c r="O8" s="547" t="s">
        <v>205</v>
      </c>
      <c r="Z8" s="547" t="s">
        <v>180</v>
      </c>
    </row>
    <row r="9" spans="1:26" ht="24.95" customHeight="1" x14ac:dyDescent="0.2">
      <c r="J9" s="548"/>
      <c r="L9" s="778" t="s">
        <v>174</v>
      </c>
      <c r="M9" s="550" t="s">
        <v>185</v>
      </c>
      <c r="N9" s="551">
        <f>Valeur_à_convertir*3.281</f>
        <v>196.86</v>
      </c>
      <c r="O9" s="547" t="s">
        <v>206</v>
      </c>
    </row>
    <row r="10" spans="1:26" ht="24.95" customHeight="1" x14ac:dyDescent="0.2">
      <c r="L10" s="778"/>
      <c r="M10" s="550" t="s">
        <v>186</v>
      </c>
      <c r="N10" s="551">
        <f>Valeur_à_convertir/3.281</f>
        <v>18.287107589149649</v>
      </c>
      <c r="O10" s="547" t="s">
        <v>207</v>
      </c>
    </row>
    <row r="11" spans="1:26" ht="24.95" customHeight="1" x14ac:dyDescent="0.2">
      <c r="L11" s="778"/>
      <c r="M11" s="550" t="s">
        <v>187</v>
      </c>
      <c r="N11" s="551">
        <f>Valeur_à_convertir/2.54</f>
        <v>23.622047244094489</v>
      </c>
      <c r="O11" s="547" t="s">
        <v>208</v>
      </c>
    </row>
    <row r="12" spans="1:26" ht="24.95" customHeight="1" x14ac:dyDescent="0.2">
      <c r="L12" s="778"/>
      <c r="M12" s="550" t="s">
        <v>188</v>
      </c>
      <c r="N12" s="551">
        <f>Valeur_à_convertir*2.54</f>
        <v>152.4</v>
      </c>
      <c r="O12" s="547" t="s">
        <v>209</v>
      </c>
    </row>
    <row r="13" spans="1:26" ht="24.95" customHeight="1" x14ac:dyDescent="0.2">
      <c r="L13" s="778" t="s">
        <v>176</v>
      </c>
      <c r="M13" s="550" t="s">
        <v>189</v>
      </c>
      <c r="N13" s="551">
        <f>Valeur_à_convertir/1.852</f>
        <v>32.39740820734341</v>
      </c>
      <c r="O13" s="547" t="s">
        <v>210</v>
      </c>
    </row>
    <row r="14" spans="1:26" ht="24.95" customHeight="1" x14ac:dyDescent="0.2">
      <c r="L14" s="778"/>
      <c r="M14" s="550" t="s">
        <v>190</v>
      </c>
      <c r="N14" s="551">
        <f>Valeur_à_convertir*1.852</f>
        <v>111.12</v>
      </c>
      <c r="O14" s="547" t="s">
        <v>211</v>
      </c>
    </row>
    <row r="15" spans="1:26" ht="24.95" customHeight="1" x14ac:dyDescent="0.2">
      <c r="L15" s="778"/>
      <c r="M15" s="550" t="s">
        <v>191</v>
      </c>
      <c r="N15" s="551">
        <f>Valeur_à_convertir/1.609</f>
        <v>37.290242386575514</v>
      </c>
      <c r="O15" s="547" t="s">
        <v>212</v>
      </c>
    </row>
    <row r="16" spans="1:26" ht="24.95" customHeight="1" x14ac:dyDescent="0.2">
      <c r="L16" s="778"/>
      <c r="M16" s="550" t="s">
        <v>192</v>
      </c>
      <c r="N16" s="551">
        <f>Valeur_à_convertir*1.609</f>
        <v>96.539999999999992</v>
      </c>
      <c r="O16" s="547" t="s">
        <v>213</v>
      </c>
    </row>
    <row r="17" spans="12:21" ht="24.95" customHeight="1" x14ac:dyDescent="0.2">
      <c r="L17" s="778" t="s">
        <v>175</v>
      </c>
      <c r="M17" s="550" t="s">
        <v>193</v>
      </c>
      <c r="N17" s="551">
        <f>(Valeur_à_convertir-32)*5/9</f>
        <v>15.555555555555555</v>
      </c>
      <c r="O17" s="547" t="s">
        <v>214</v>
      </c>
      <c r="R17" s="546" t="s">
        <v>0</v>
      </c>
      <c r="S17" s="546" t="s">
        <v>216</v>
      </c>
      <c r="T17" s="546" t="s">
        <v>218</v>
      </c>
      <c r="U17" s="546" t="s">
        <v>217</v>
      </c>
    </row>
    <row r="18" spans="12:21" ht="24.95" customHeight="1" x14ac:dyDescent="0.2">
      <c r="L18" s="778"/>
      <c r="M18" s="550" t="s">
        <v>194</v>
      </c>
      <c r="N18" s="551">
        <f>(Valeur_à_convertir*9/5)+32</f>
        <v>140</v>
      </c>
      <c r="O18" s="547" t="s">
        <v>215</v>
      </c>
      <c r="Q18" s="547" t="s">
        <v>195</v>
      </c>
      <c r="R18" s="546">
        <f>Valeur_à_convertir</f>
        <v>60</v>
      </c>
      <c r="S18" s="546">
        <v>0.72</v>
      </c>
      <c r="T18" s="546">
        <f>R18*S18</f>
        <v>43.199999999999996</v>
      </c>
      <c r="U18" s="546">
        <f>T18*2.205</f>
        <v>95.256</v>
      </c>
    </row>
    <row r="19" spans="12:21" ht="24.95" customHeight="1" x14ac:dyDescent="0.2">
      <c r="L19" s="778" t="s">
        <v>195</v>
      </c>
      <c r="M19" s="550" t="s">
        <v>220</v>
      </c>
      <c r="N19" s="551">
        <f>Valeur_à_convertir*0.72</f>
        <v>43.199999999999996</v>
      </c>
      <c r="O19" s="547" t="s">
        <v>223</v>
      </c>
      <c r="Q19" s="547" t="s">
        <v>219</v>
      </c>
      <c r="R19" s="546">
        <f>Valeur_à_convertir</f>
        <v>60</v>
      </c>
      <c r="S19" s="546">
        <v>0.8</v>
      </c>
      <c r="T19" s="546">
        <f>R19*S19</f>
        <v>48</v>
      </c>
      <c r="U19" s="546">
        <f>T19*2.205</f>
        <v>105.84</v>
      </c>
    </row>
    <row r="20" spans="12:21" ht="24.95" customHeight="1" x14ac:dyDescent="0.2">
      <c r="L20" s="778"/>
      <c r="M20" s="550" t="s">
        <v>221</v>
      </c>
      <c r="N20" s="551">
        <f>(Valeur_à_convertir*0.72)*2.205</f>
        <v>95.256</v>
      </c>
      <c r="O20" s="547" t="s">
        <v>222</v>
      </c>
      <c r="R20" s="546" t="s">
        <v>0</v>
      </c>
      <c r="S20" s="546" t="s">
        <v>216</v>
      </c>
      <c r="T20" s="546" t="s">
        <v>217</v>
      </c>
      <c r="U20" s="546" t="s">
        <v>218</v>
      </c>
    </row>
    <row r="21" spans="12:21" ht="24.95" customHeight="1" x14ac:dyDescent="0.2">
      <c r="L21" s="778" t="s">
        <v>196</v>
      </c>
      <c r="M21" s="550" t="s">
        <v>220</v>
      </c>
      <c r="N21" s="551">
        <f>Valeur_à_convertir*0.8</f>
        <v>48</v>
      </c>
      <c r="O21" s="547" t="s">
        <v>224</v>
      </c>
      <c r="Q21" s="547" t="s">
        <v>195</v>
      </c>
      <c r="R21" s="546">
        <f>Valeur_à_convertir</f>
        <v>60</v>
      </c>
      <c r="S21" s="546">
        <v>0.72</v>
      </c>
      <c r="T21" s="546">
        <f>(R21*S21)*2.205</f>
        <v>95.256</v>
      </c>
      <c r="U21" s="546">
        <f>T21/2.205</f>
        <v>43.199999999999996</v>
      </c>
    </row>
    <row r="22" spans="12:21" ht="24.95" customHeight="1" x14ac:dyDescent="0.2">
      <c r="L22" s="778"/>
      <c r="M22" s="550" t="s">
        <v>221</v>
      </c>
      <c r="N22" s="551">
        <f>(Valeur_à_convertir*0.8)*2.205</f>
        <v>105.84</v>
      </c>
      <c r="O22" s="547" t="s">
        <v>225</v>
      </c>
      <c r="Q22" s="547" t="s">
        <v>219</v>
      </c>
      <c r="R22" s="546">
        <f>Valeur_à_convertir</f>
        <v>60</v>
      </c>
      <c r="S22" s="546">
        <v>0.8</v>
      </c>
      <c r="T22" s="546">
        <f>(R22*S22)*2.205</f>
        <v>105.84</v>
      </c>
      <c r="U22" s="546">
        <f>T22/2.205</f>
        <v>48</v>
      </c>
    </row>
    <row r="23" spans="12:21" ht="24.95" customHeight="1" x14ac:dyDescent="0.2">
      <c r="L23" s="778" t="s">
        <v>201</v>
      </c>
      <c r="M23" s="550" t="s">
        <v>197</v>
      </c>
      <c r="N23" s="551">
        <f>Valeur_à_convertir/4.546</f>
        <v>13.198416190057193</v>
      </c>
      <c r="O23" s="547" t="s">
        <v>226</v>
      </c>
    </row>
    <row r="24" spans="12:21" ht="24.95" customHeight="1" x14ac:dyDescent="0.2">
      <c r="L24" s="778"/>
      <c r="M24" s="550" t="s">
        <v>198</v>
      </c>
      <c r="N24" s="551">
        <f>Valeur_à_convertir*1.201</f>
        <v>72.06</v>
      </c>
      <c r="O24" s="547" t="s">
        <v>227</v>
      </c>
    </row>
    <row r="25" spans="12:21" ht="24.95" customHeight="1" x14ac:dyDescent="0.2">
      <c r="L25" s="778"/>
      <c r="M25" s="550" t="s">
        <v>199</v>
      </c>
      <c r="N25" s="551">
        <f>Valeur_à_convertir/3.785</f>
        <v>15.852047556142669</v>
      </c>
      <c r="O25" s="547" t="s">
        <v>228</v>
      </c>
    </row>
    <row r="26" spans="12:21" ht="24.95" customHeight="1" x14ac:dyDescent="0.2">
      <c r="L26" s="778"/>
      <c r="M26" s="550" t="s">
        <v>200</v>
      </c>
      <c r="N26" s="551">
        <f>Valeur_à_convertir*3.785</f>
        <v>227.10000000000002</v>
      </c>
      <c r="O26" s="547" t="s">
        <v>229</v>
      </c>
    </row>
  </sheetData>
  <sheetProtection algorithmName="SHA-512" hashValue="/tFswapC5v7IHzN8bd37qeAY/m9uulgkFkMoHEk963q1FLI+vcvYEpLQhTSvTqsMhPR1IWWjYGPwPhbIyncu1g==" saltValue="BeHx9I1QvKL58/1PEWDyoQ==" spinCount="100000" sheet="1" objects="1" scenarios="1" selectLockedCells="1"/>
  <mergeCells count="11">
    <mergeCell ref="L23:L26"/>
    <mergeCell ref="A1:K1"/>
    <mergeCell ref="A3:E3"/>
    <mergeCell ref="G3:K3"/>
    <mergeCell ref="L19:L20"/>
    <mergeCell ref="L21:L22"/>
    <mergeCell ref="L5:L6"/>
    <mergeCell ref="L7:L8"/>
    <mergeCell ref="L9:L12"/>
    <mergeCell ref="L13:L16"/>
    <mergeCell ref="L17:L18"/>
  </mergeCells>
  <phoneticPr fontId="21" type="noConversion"/>
  <printOptions horizontalCentered="1" verticalCentered="1"/>
  <pageMargins left="0.19685039370078741" right="0.19685039370078741" top="0.19685039370078741" bottom="0.39370078740157483" header="0.31496062992125984" footer="0.31496062992125984"/>
  <pageSetup paperSize="9" scale="71" orientation="landscape" horizontalDpi="0" verticalDpi="0" r:id="rId1"/>
  <headerFooter>
    <oddFooter>&amp;R&amp;"Book Antiqua,Normal"&amp;12&amp;UDate d'édition :&amp;U &amp;D</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00853-31FC-4BA0-B3AF-B7D31219690D}">
  <sheetPr>
    <tabColor theme="8" tint="-0.499984740745262"/>
    <pageSetUpPr fitToPage="1"/>
  </sheetPr>
  <dimension ref="A1:AE66"/>
  <sheetViews>
    <sheetView showGridLines="0" zoomScale="85" zoomScaleNormal="85" workbookViewId="0">
      <pane ySplit="3" topLeftCell="A7" activePane="bottomLeft" state="frozenSplit"/>
      <selection activeCell="C3" sqref="C3:E3"/>
      <selection pane="bottomLeft" activeCell="K17" sqref="K17"/>
    </sheetView>
  </sheetViews>
  <sheetFormatPr baseColWidth="10" defaultRowHeight="18.75" x14ac:dyDescent="0.2"/>
  <cols>
    <col min="1" max="1" width="42.7109375" style="1" customWidth="1"/>
    <col min="2" max="2" width="29.140625" style="1" bestFit="1" customWidth="1"/>
    <col min="3" max="6" width="15.7109375" style="24" customWidth="1"/>
    <col min="7" max="7" width="5.7109375" style="1" customWidth="1"/>
    <col min="8" max="8" width="38.42578125" style="1" customWidth="1"/>
    <col min="9" max="11" width="15.7109375" style="1" customWidth="1"/>
    <col min="12" max="12" width="5.7109375" style="1" customWidth="1"/>
    <col min="13" max="13" width="52.140625" style="1" customWidth="1"/>
    <col min="14" max="14" width="15.7109375" style="24" customWidth="1"/>
    <col min="15" max="15" width="5.7109375" style="78" customWidth="1"/>
    <col min="16" max="16" width="27.5703125" style="67" hidden="1" customWidth="1"/>
    <col min="17" max="17" width="14.85546875" style="68" hidden="1" customWidth="1"/>
    <col min="18" max="18" width="35.42578125" style="34" customWidth="1"/>
    <col min="19" max="19" width="16.7109375" style="34" customWidth="1"/>
    <col min="20" max="20" width="17.85546875" style="34" customWidth="1"/>
    <col min="21" max="21" width="22.140625" style="34" bestFit="1" customWidth="1"/>
    <col min="22" max="22" width="25.7109375" style="34" bestFit="1" customWidth="1"/>
    <col min="23" max="23" width="17.28515625" style="34" bestFit="1" customWidth="1"/>
    <col min="24" max="28" width="11.5703125" style="34" bestFit="1" customWidth="1"/>
    <col min="29" max="31" width="11.42578125" style="34"/>
    <col min="32" max="250" width="11.42578125" style="1"/>
    <col min="251" max="251" width="22.28515625" style="1" bestFit="1" customWidth="1"/>
    <col min="252" max="252" width="11.42578125" style="1"/>
    <col min="253" max="253" width="16" style="1" bestFit="1" customWidth="1"/>
    <col min="254" max="254" width="21.7109375" style="1" bestFit="1" customWidth="1"/>
    <col min="255" max="255" width="23.42578125" style="1" bestFit="1" customWidth="1"/>
    <col min="256" max="256" width="11.42578125" style="1"/>
    <col min="257" max="257" width="21.5703125" style="1" customWidth="1"/>
    <col min="258" max="259" width="11.42578125" style="1"/>
    <col min="260" max="260" width="12.85546875" style="1" bestFit="1" customWidth="1"/>
    <col min="261" max="261" width="11.42578125" style="1"/>
    <col min="262" max="262" width="27.7109375" style="1" bestFit="1" customWidth="1"/>
    <col min="263" max="263" width="12.28515625" style="1" bestFit="1" customWidth="1"/>
    <col min="264" max="506" width="11.42578125" style="1"/>
    <col min="507" max="507" width="22.28515625" style="1" bestFit="1" customWidth="1"/>
    <col min="508" max="508" width="11.42578125" style="1"/>
    <col min="509" max="509" width="16" style="1" bestFit="1" customWidth="1"/>
    <col min="510" max="510" width="21.7109375" style="1" bestFit="1" customWidth="1"/>
    <col min="511" max="511" width="23.42578125" style="1" bestFit="1" customWidth="1"/>
    <col min="512" max="512" width="11.42578125" style="1"/>
    <col min="513" max="513" width="21.5703125" style="1" customWidth="1"/>
    <col min="514" max="515" width="11.42578125" style="1"/>
    <col min="516" max="516" width="12.85546875" style="1" bestFit="1" customWidth="1"/>
    <col min="517" max="517" width="11.42578125" style="1"/>
    <col min="518" max="518" width="27.7109375" style="1" bestFit="1" customWidth="1"/>
    <col min="519" max="519" width="12.28515625" style="1" bestFit="1" customWidth="1"/>
    <col min="520" max="762" width="11.42578125" style="1"/>
    <col min="763" max="763" width="22.28515625" style="1" bestFit="1" customWidth="1"/>
    <col min="764" max="764" width="11.42578125" style="1"/>
    <col min="765" max="765" width="16" style="1" bestFit="1" customWidth="1"/>
    <col min="766" max="766" width="21.7109375" style="1" bestFit="1" customWidth="1"/>
    <col min="767" max="767" width="23.42578125" style="1" bestFit="1" customWidth="1"/>
    <col min="768" max="768" width="11.42578125" style="1"/>
    <col min="769" max="769" width="21.5703125" style="1" customWidth="1"/>
    <col min="770" max="771" width="11.42578125" style="1"/>
    <col min="772" max="772" width="12.85546875" style="1" bestFit="1" customWidth="1"/>
    <col min="773" max="773" width="11.42578125" style="1"/>
    <col min="774" max="774" width="27.7109375" style="1" bestFit="1" customWidth="1"/>
    <col min="775" max="775" width="12.28515625" style="1" bestFit="1" customWidth="1"/>
    <col min="776" max="1018" width="11.42578125" style="1"/>
    <col min="1019" max="1019" width="22.28515625" style="1" bestFit="1" customWidth="1"/>
    <col min="1020" max="1020" width="11.42578125" style="1"/>
    <col min="1021" max="1021" width="16" style="1" bestFit="1" customWidth="1"/>
    <col min="1022" max="1022" width="21.7109375" style="1" bestFit="1" customWidth="1"/>
    <col min="1023" max="1023" width="23.42578125" style="1" bestFit="1" customWidth="1"/>
    <col min="1024" max="1024" width="11.42578125" style="1"/>
    <col min="1025" max="1025" width="21.5703125" style="1" customWidth="1"/>
    <col min="1026" max="1027" width="11.42578125" style="1"/>
    <col min="1028" max="1028" width="12.85546875" style="1" bestFit="1" customWidth="1"/>
    <col min="1029" max="1029" width="11.42578125" style="1"/>
    <col min="1030" max="1030" width="27.7109375" style="1" bestFit="1" customWidth="1"/>
    <col min="1031" max="1031" width="12.28515625" style="1" bestFit="1" customWidth="1"/>
    <col min="1032" max="1274" width="11.42578125" style="1"/>
    <col min="1275" max="1275" width="22.28515625" style="1" bestFit="1" customWidth="1"/>
    <col min="1276" max="1276" width="11.42578125" style="1"/>
    <col min="1277" max="1277" width="16" style="1" bestFit="1" customWidth="1"/>
    <col min="1278" max="1278" width="21.7109375" style="1" bestFit="1" customWidth="1"/>
    <col min="1279" max="1279" width="23.42578125" style="1" bestFit="1" customWidth="1"/>
    <col min="1280" max="1280" width="11.42578125" style="1"/>
    <col min="1281" max="1281" width="21.5703125" style="1" customWidth="1"/>
    <col min="1282" max="1283" width="11.42578125" style="1"/>
    <col min="1284" max="1284" width="12.85546875" style="1" bestFit="1" customWidth="1"/>
    <col min="1285" max="1285" width="11.42578125" style="1"/>
    <col min="1286" max="1286" width="27.7109375" style="1" bestFit="1" customWidth="1"/>
    <col min="1287" max="1287" width="12.28515625" style="1" bestFit="1" customWidth="1"/>
    <col min="1288" max="1530" width="11.42578125" style="1"/>
    <col min="1531" max="1531" width="22.28515625" style="1" bestFit="1" customWidth="1"/>
    <col min="1532" max="1532" width="11.42578125" style="1"/>
    <col min="1533" max="1533" width="16" style="1" bestFit="1" customWidth="1"/>
    <col min="1534" max="1534" width="21.7109375" style="1" bestFit="1" customWidth="1"/>
    <col min="1535" max="1535" width="23.42578125" style="1" bestFit="1" customWidth="1"/>
    <col min="1536" max="1536" width="11.42578125" style="1"/>
    <col min="1537" max="1537" width="21.5703125" style="1" customWidth="1"/>
    <col min="1538" max="1539" width="11.42578125" style="1"/>
    <col min="1540" max="1540" width="12.85546875" style="1" bestFit="1" customWidth="1"/>
    <col min="1541" max="1541" width="11.42578125" style="1"/>
    <col min="1542" max="1542" width="27.7109375" style="1" bestFit="1" customWidth="1"/>
    <col min="1543" max="1543" width="12.28515625" style="1" bestFit="1" customWidth="1"/>
    <col min="1544" max="1786" width="11.42578125" style="1"/>
    <col min="1787" max="1787" width="22.28515625" style="1" bestFit="1" customWidth="1"/>
    <col min="1788" max="1788" width="11.42578125" style="1"/>
    <col min="1789" max="1789" width="16" style="1" bestFit="1" customWidth="1"/>
    <col min="1790" max="1790" width="21.7109375" style="1" bestFit="1" customWidth="1"/>
    <col min="1791" max="1791" width="23.42578125" style="1" bestFit="1" customWidth="1"/>
    <col min="1792" max="1792" width="11.42578125" style="1"/>
    <col min="1793" max="1793" width="21.5703125" style="1" customWidth="1"/>
    <col min="1794" max="1795" width="11.42578125" style="1"/>
    <col min="1796" max="1796" width="12.85546875" style="1" bestFit="1" customWidth="1"/>
    <col min="1797" max="1797" width="11.42578125" style="1"/>
    <col min="1798" max="1798" width="27.7109375" style="1" bestFit="1" customWidth="1"/>
    <col min="1799" max="1799" width="12.28515625" style="1" bestFit="1" customWidth="1"/>
    <col min="1800" max="2042" width="11.42578125" style="1"/>
    <col min="2043" max="2043" width="22.28515625" style="1" bestFit="1" customWidth="1"/>
    <col min="2044" max="2044" width="11.42578125" style="1"/>
    <col min="2045" max="2045" width="16" style="1" bestFit="1" customWidth="1"/>
    <col min="2046" max="2046" width="21.7109375" style="1" bestFit="1" customWidth="1"/>
    <col min="2047" max="2047" width="23.42578125" style="1" bestFit="1" customWidth="1"/>
    <col min="2048" max="2048" width="11.42578125" style="1"/>
    <col min="2049" max="2049" width="21.5703125" style="1" customWidth="1"/>
    <col min="2050" max="2051" width="11.42578125" style="1"/>
    <col min="2052" max="2052" width="12.85546875" style="1" bestFit="1" customWidth="1"/>
    <col min="2053" max="2053" width="11.42578125" style="1"/>
    <col min="2054" max="2054" width="27.7109375" style="1" bestFit="1" customWidth="1"/>
    <col min="2055" max="2055" width="12.28515625" style="1" bestFit="1" customWidth="1"/>
    <col min="2056" max="2298" width="11.42578125" style="1"/>
    <col min="2299" max="2299" width="22.28515625" style="1" bestFit="1" customWidth="1"/>
    <col min="2300" max="2300" width="11.42578125" style="1"/>
    <col min="2301" max="2301" width="16" style="1" bestFit="1" customWidth="1"/>
    <col min="2302" max="2302" width="21.7109375" style="1" bestFit="1" customWidth="1"/>
    <col min="2303" max="2303" width="23.42578125" style="1" bestFit="1" customWidth="1"/>
    <col min="2304" max="2304" width="11.42578125" style="1"/>
    <col min="2305" max="2305" width="21.5703125" style="1" customWidth="1"/>
    <col min="2306" max="2307" width="11.42578125" style="1"/>
    <col min="2308" max="2308" width="12.85546875" style="1" bestFit="1" customWidth="1"/>
    <col min="2309" max="2309" width="11.42578125" style="1"/>
    <col min="2310" max="2310" width="27.7109375" style="1" bestFit="1" customWidth="1"/>
    <col min="2311" max="2311" width="12.28515625" style="1" bestFit="1" customWidth="1"/>
    <col min="2312" max="2554" width="11.42578125" style="1"/>
    <col min="2555" max="2555" width="22.28515625" style="1" bestFit="1" customWidth="1"/>
    <col min="2556" max="2556" width="11.42578125" style="1"/>
    <col min="2557" max="2557" width="16" style="1" bestFit="1" customWidth="1"/>
    <col min="2558" max="2558" width="21.7109375" style="1" bestFit="1" customWidth="1"/>
    <col min="2559" max="2559" width="23.42578125" style="1" bestFit="1" customWidth="1"/>
    <col min="2560" max="2560" width="11.42578125" style="1"/>
    <col min="2561" max="2561" width="21.5703125" style="1" customWidth="1"/>
    <col min="2562" max="2563" width="11.42578125" style="1"/>
    <col min="2564" max="2564" width="12.85546875" style="1" bestFit="1" customWidth="1"/>
    <col min="2565" max="2565" width="11.42578125" style="1"/>
    <col min="2566" max="2566" width="27.7109375" style="1" bestFit="1" customWidth="1"/>
    <col min="2567" max="2567" width="12.28515625" style="1" bestFit="1" customWidth="1"/>
    <col min="2568" max="2810" width="11.42578125" style="1"/>
    <col min="2811" max="2811" width="22.28515625" style="1" bestFit="1" customWidth="1"/>
    <col min="2812" max="2812" width="11.42578125" style="1"/>
    <col min="2813" max="2813" width="16" style="1" bestFit="1" customWidth="1"/>
    <col min="2814" max="2814" width="21.7109375" style="1" bestFit="1" customWidth="1"/>
    <col min="2815" max="2815" width="23.42578125" style="1" bestFit="1" customWidth="1"/>
    <col min="2816" max="2816" width="11.42578125" style="1"/>
    <col min="2817" max="2817" width="21.5703125" style="1" customWidth="1"/>
    <col min="2818" max="2819" width="11.42578125" style="1"/>
    <col min="2820" max="2820" width="12.85546875" style="1" bestFit="1" customWidth="1"/>
    <col min="2821" max="2821" width="11.42578125" style="1"/>
    <col min="2822" max="2822" width="27.7109375" style="1" bestFit="1" customWidth="1"/>
    <col min="2823" max="2823" width="12.28515625" style="1" bestFit="1" customWidth="1"/>
    <col min="2824" max="3066" width="11.42578125" style="1"/>
    <col min="3067" max="3067" width="22.28515625" style="1" bestFit="1" customWidth="1"/>
    <col min="3068" max="3068" width="11.42578125" style="1"/>
    <col min="3069" max="3069" width="16" style="1" bestFit="1" customWidth="1"/>
    <col min="3070" max="3070" width="21.7109375" style="1" bestFit="1" customWidth="1"/>
    <col min="3071" max="3071" width="23.42578125" style="1" bestFit="1" customWidth="1"/>
    <col min="3072" max="3072" width="11.42578125" style="1"/>
    <col min="3073" max="3073" width="21.5703125" style="1" customWidth="1"/>
    <col min="3074" max="3075" width="11.42578125" style="1"/>
    <col min="3076" max="3076" width="12.85546875" style="1" bestFit="1" customWidth="1"/>
    <col min="3077" max="3077" width="11.42578125" style="1"/>
    <col min="3078" max="3078" width="27.7109375" style="1" bestFit="1" customWidth="1"/>
    <col min="3079" max="3079" width="12.28515625" style="1" bestFit="1" customWidth="1"/>
    <col min="3080" max="3322" width="11.42578125" style="1"/>
    <col min="3323" max="3323" width="22.28515625" style="1" bestFit="1" customWidth="1"/>
    <col min="3324" max="3324" width="11.42578125" style="1"/>
    <col min="3325" max="3325" width="16" style="1" bestFit="1" customWidth="1"/>
    <col min="3326" max="3326" width="21.7109375" style="1" bestFit="1" customWidth="1"/>
    <col min="3327" max="3327" width="23.42578125" style="1" bestFit="1" customWidth="1"/>
    <col min="3328" max="3328" width="11.42578125" style="1"/>
    <col min="3329" max="3329" width="21.5703125" style="1" customWidth="1"/>
    <col min="3330" max="3331" width="11.42578125" style="1"/>
    <col min="3332" max="3332" width="12.85546875" style="1" bestFit="1" customWidth="1"/>
    <col min="3333" max="3333" width="11.42578125" style="1"/>
    <col min="3334" max="3334" width="27.7109375" style="1" bestFit="1" customWidth="1"/>
    <col min="3335" max="3335" width="12.28515625" style="1" bestFit="1" customWidth="1"/>
    <col min="3336" max="3578" width="11.42578125" style="1"/>
    <col min="3579" max="3579" width="22.28515625" style="1" bestFit="1" customWidth="1"/>
    <col min="3580" max="3580" width="11.42578125" style="1"/>
    <col min="3581" max="3581" width="16" style="1" bestFit="1" customWidth="1"/>
    <col min="3582" max="3582" width="21.7109375" style="1" bestFit="1" customWidth="1"/>
    <col min="3583" max="3583" width="23.42578125" style="1" bestFit="1" customWidth="1"/>
    <col min="3584" max="3584" width="11.42578125" style="1"/>
    <col min="3585" max="3585" width="21.5703125" style="1" customWidth="1"/>
    <col min="3586" max="3587" width="11.42578125" style="1"/>
    <col min="3588" max="3588" width="12.85546875" style="1" bestFit="1" customWidth="1"/>
    <col min="3589" max="3589" width="11.42578125" style="1"/>
    <col min="3590" max="3590" width="27.7109375" style="1" bestFit="1" customWidth="1"/>
    <col min="3591" max="3591" width="12.28515625" style="1" bestFit="1" customWidth="1"/>
    <col min="3592" max="3834" width="11.42578125" style="1"/>
    <col min="3835" max="3835" width="22.28515625" style="1" bestFit="1" customWidth="1"/>
    <col min="3836" max="3836" width="11.42578125" style="1"/>
    <col min="3837" max="3837" width="16" style="1" bestFit="1" customWidth="1"/>
    <col min="3838" max="3838" width="21.7109375" style="1" bestFit="1" customWidth="1"/>
    <col min="3839" max="3839" width="23.42578125" style="1" bestFit="1" customWidth="1"/>
    <col min="3840" max="3840" width="11.42578125" style="1"/>
    <col min="3841" max="3841" width="21.5703125" style="1" customWidth="1"/>
    <col min="3842" max="3843" width="11.42578125" style="1"/>
    <col min="3844" max="3844" width="12.85546875" style="1" bestFit="1" customWidth="1"/>
    <col min="3845" max="3845" width="11.42578125" style="1"/>
    <col min="3846" max="3846" width="27.7109375" style="1" bestFit="1" customWidth="1"/>
    <col min="3847" max="3847" width="12.28515625" style="1" bestFit="1" customWidth="1"/>
    <col min="3848" max="4090" width="11.42578125" style="1"/>
    <col min="4091" max="4091" width="22.28515625" style="1" bestFit="1" customWidth="1"/>
    <col min="4092" max="4092" width="11.42578125" style="1"/>
    <col min="4093" max="4093" width="16" style="1" bestFit="1" customWidth="1"/>
    <col min="4094" max="4094" width="21.7109375" style="1" bestFit="1" customWidth="1"/>
    <col min="4095" max="4095" width="23.42578125" style="1" bestFit="1" customWidth="1"/>
    <col min="4096" max="4096" width="11.42578125" style="1"/>
    <col min="4097" max="4097" width="21.5703125" style="1" customWidth="1"/>
    <col min="4098" max="4099" width="11.42578125" style="1"/>
    <col min="4100" max="4100" width="12.85546875" style="1" bestFit="1" customWidth="1"/>
    <col min="4101" max="4101" width="11.42578125" style="1"/>
    <col min="4102" max="4102" width="27.7109375" style="1" bestFit="1" customWidth="1"/>
    <col min="4103" max="4103" width="12.28515625" style="1" bestFit="1" customWidth="1"/>
    <col min="4104" max="4346" width="11.42578125" style="1"/>
    <col min="4347" max="4347" width="22.28515625" style="1" bestFit="1" customWidth="1"/>
    <col min="4348" max="4348" width="11.42578125" style="1"/>
    <col min="4349" max="4349" width="16" style="1" bestFit="1" customWidth="1"/>
    <col min="4350" max="4350" width="21.7109375" style="1" bestFit="1" customWidth="1"/>
    <col min="4351" max="4351" width="23.42578125" style="1" bestFit="1" customWidth="1"/>
    <col min="4352" max="4352" width="11.42578125" style="1"/>
    <col min="4353" max="4353" width="21.5703125" style="1" customWidth="1"/>
    <col min="4354" max="4355" width="11.42578125" style="1"/>
    <col min="4356" max="4356" width="12.85546875" style="1" bestFit="1" customWidth="1"/>
    <col min="4357" max="4357" width="11.42578125" style="1"/>
    <col min="4358" max="4358" width="27.7109375" style="1" bestFit="1" customWidth="1"/>
    <col min="4359" max="4359" width="12.28515625" style="1" bestFit="1" customWidth="1"/>
    <col min="4360" max="4602" width="11.42578125" style="1"/>
    <col min="4603" max="4603" width="22.28515625" style="1" bestFit="1" customWidth="1"/>
    <col min="4604" max="4604" width="11.42578125" style="1"/>
    <col min="4605" max="4605" width="16" style="1" bestFit="1" customWidth="1"/>
    <col min="4606" max="4606" width="21.7109375" style="1" bestFit="1" customWidth="1"/>
    <col min="4607" max="4607" width="23.42578125" style="1" bestFit="1" customWidth="1"/>
    <col min="4608" max="4608" width="11.42578125" style="1"/>
    <col min="4609" max="4609" width="21.5703125" style="1" customWidth="1"/>
    <col min="4610" max="4611" width="11.42578125" style="1"/>
    <col min="4612" max="4612" width="12.85546875" style="1" bestFit="1" customWidth="1"/>
    <col min="4613" max="4613" width="11.42578125" style="1"/>
    <col min="4614" max="4614" width="27.7109375" style="1" bestFit="1" customWidth="1"/>
    <col min="4615" max="4615" width="12.28515625" style="1" bestFit="1" customWidth="1"/>
    <col min="4616" max="4858" width="11.42578125" style="1"/>
    <col min="4859" max="4859" width="22.28515625" style="1" bestFit="1" customWidth="1"/>
    <col min="4860" max="4860" width="11.42578125" style="1"/>
    <col min="4861" max="4861" width="16" style="1" bestFit="1" customWidth="1"/>
    <col min="4862" max="4862" width="21.7109375" style="1" bestFit="1" customWidth="1"/>
    <col min="4863" max="4863" width="23.42578125" style="1" bestFit="1" customWidth="1"/>
    <col min="4864" max="4864" width="11.42578125" style="1"/>
    <col min="4865" max="4865" width="21.5703125" style="1" customWidth="1"/>
    <col min="4866" max="4867" width="11.42578125" style="1"/>
    <col min="4868" max="4868" width="12.85546875" style="1" bestFit="1" customWidth="1"/>
    <col min="4869" max="4869" width="11.42578125" style="1"/>
    <col min="4870" max="4870" width="27.7109375" style="1" bestFit="1" customWidth="1"/>
    <col min="4871" max="4871" width="12.28515625" style="1" bestFit="1" customWidth="1"/>
    <col min="4872" max="5114" width="11.42578125" style="1"/>
    <col min="5115" max="5115" width="22.28515625" style="1" bestFit="1" customWidth="1"/>
    <col min="5116" max="5116" width="11.42578125" style="1"/>
    <col min="5117" max="5117" width="16" style="1" bestFit="1" customWidth="1"/>
    <col min="5118" max="5118" width="21.7109375" style="1" bestFit="1" customWidth="1"/>
    <col min="5119" max="5119" width="23.42578125" style="1" bestFit="1" customWidth="1"/>
    <col min="5120" max="5120" width="11.42578125" style="1"/>
    <col min="5121" max="5121" width="21.5703125" style="1" customWidth="1"/>
    <col min="5122" max="5123" width="11.42578125" style="1"/>
    <col min="5124" max="5124" width="12.85546875" style="1" bestFit="1" customWidth="1"/>
    <col min="5125" max="5125" width="11.42578125" style="1"/>
    <col min="5126" max="5126" width="27.7109375" style="1" bestFit="1" customWidth="1"/>
    <col min="5127" max="5127" width="12.28515625" style="1" bestFit="1" customWidth="1"/>
    <col min="5128" max="5370" width="11.42578125" style="1"/>
    <col min="5371" max="5371" width="22.28515625" style="1" bestFit="1" customWidth="1"/>
    <col min="5372" max="5372" width="11.42578125" style="1"/>
    <col min="5373" max="5373" width="16" style="1" bestFit="1" customWidth="1"/>
    <col min="5374" max="5374" width="21.7109375" style="1" bestFit="1" customWidth="1"/>
    <col min="5375" max="5375" width="23.42578125" style="1" bestFit="1" customWidth="1"/>
    <col min="5376" max="5376" width="11.42578125" style="1"/>
    <col min="5377" max="5377" width="21.5703125" style="1" customWidth="1"/>
    <col min="5378" max="5379" width="11.42578125" style="1"/>
    <col min="5380" max="5380" width="12.85546875" style="1" bestFit="1" customWidth="1"/>
    <col min="5381" max="5381" width="11.42578125" style="1"/>
    <col min="5382" max="5382" width="27.7109375" style="1" bestFit="1" customWidth="1"/>
    <col min="5383" max="5383" width="12.28515625" style="1" bestFit="1" customWidth="1"/>
    <col min="5384" max="5626" width="11.42578125" style="1"/>
    <col min="5627" max="5627" width="22.28515625" style="1" bestFit="1" customWidth="1"/>
    <col min="5628" max="5628" width="11.42578125" style="1"/>
    <col min="5629" max="5629" width="16" style="1" bestFit="1" customWidth="1"/>
    <col min="5630" max="5630" width="21.7109375" style="1" bestFit="1" customWidth="1"/>
    <col min="5631" max="5631" width="23.42578125" style="1" bestFit="1" customWidth="1"/>
    <col min="5632" max="5632" width="11.42578125" style="1"/>
    <col min="5633" max="5633" width="21.5703125" style="1" customWidth="1"/>
    <col min="5634" max="5635" width="11.42578125" style="1"/>
    <col min="5636" max="5636" width="12.85546875" style="1" bestFit="1" customWidth="1"/>
    <col min="5637" max="5637" width="11.42578125" style="1"/>
    <col min="5638" max="5638" width="27.7109375" style="1" bestFit="1" customWidth="1"/>
    <col min="5639" max="5639" width="12.28515625" style="1" bestFit="1" customWidth="1"/>
    <col min="5640" max="5882" width="11.42578125" style="1"/>
    <col min="5883" max="5883" width="22.28515625" style="1" bestFit="1" customWidth="1"/>
    <col min="5884" max="5884" width="11.42578125" style="1"/>
    <col min="5885" max="5885" width="16" style="1" bestFit="1" customWidth="1"/>
    <col min="5886" max="5886" width="21.7109375" style="1" bestFit="1" customWidth="1"/>
    <col min="5887" max="5887" width="23.42578125" style="1" bestFit="1" customWidth="1"/>
    <col min="5888" max="5888" width="11.42578125" style="1"/>
    <col min="5889" max="5889" width="21.5703125" style="1" customWidth="1"/>
    <col min="5890" max="5891" width="11.42578125" style="1"/>
    <col min="5892" max="5892" width="12.85546875" style="1" bestFit="1" customWidth="1"/>
    <col min="5893" max="5893" width="11.42578125" style="1"/>
    <col min="5894" max="5894" width="27.7109375" style="1" bestFit="1" customWidth="1"/>
    <col min="5895" max="5895" width="12.28515625" style="1" bestFit="1" customWidth="1"/>
    <col min="5896" max="6138" width="11.42578125" style="1"/>
    <col min="6139" max="6139" width="22.28515625" style="1" bestFit="1" customWidth="1"/>
    <col min="6140" max="6140" width="11.42578125" style="1"/>
    <col min="6141" max="6141" width="16" style="1" bestFit="1" customWidth="1"/>
    <col min="6142" max="6142" width="21.7109375" style="1" bestFit="1" customWidth="1"/>
    <col min="6143" max="6143" width="23.42578125" style="1" bestFit="1" customWidth="1"/>
    <col min="6144" max="6144" width="11.42578125" style="1"/>
    <col min="6145" max="6145" width="21.5703125" style="1" customWidth="1"/>
    <col min="6146" max="6147" width="11.42578125" style="1"/>
    <col min="6148" max="6148" width="12.85546875" style="1" bestFit="1" customWidth="1"/>
    <col min="6149" max="6149" width="11.42578125" style="1"/>
    <col min="6150" max="6150" width="27.7109375" style="1" bestFit="1" customWidth="1"/>
    <col min="6151" max="6151" width="12.28515625" style="1" bestFit="1" customWidth="1"/>
    <col min="6152" max="6394" width="11.42578125" style="1"/>
    <col min="6395" max="6395" width="22.28515625" style="1" bestFit="1" customWidth="1"/>
    <col min="6396" max="6396" width="11.42578125" style="1"/>
    <col min="6397" max="6397" width="16" style="1" bestFit="1" customWidth="1"/>
    <col min="6398" max="6398" width="21.7109375" style="1" bestFit="1" customWidth="1"/>
    <col min="6399" max="6399" width="23.42578125" style="1" bestFit="1" customWidth="1"/>
    <col min="6400" max="6400" width="11.42578125" style="1"/>
    <col min="6401" max="6401" width="21.5703125" style="1" customWidth="1"/>
    <col min="6402" max="6403" width="11.42578125" style="1"/>
    <col min="6404" max="6404" width="12.85546875" style="1" bestFit="1" customWidth="1"/>
    <col min="6405" max="6405" width="11.42578125" style="1"/>
    <col min="6406" max="6406" width="27.7109375" style="1" bestFit="1" customWidth="1"/>
    <col min="6407" max="6407" width="12.28515625" style="1" bestFit="1" customWidth="1"/>
    <col min="6408" max="6650" width="11.42578125" style="1"/>
    <col min="6651" max="6651" width="22.28515625" style="1" bestFit="1" customWidth="1"/>
    <col min="6652" max="6652" width="11.42578125" style="1"/>
    <col min="6653" max="6653" width="16" style="1" bestFit="1" customWidth="1"/>
    <col min="6654" max="6654" width="21.7109375" style="1" bestFit="1" customWidth="1"/>
    <col min="6655" max="6655" width="23.42578125" style="1" bestFit="1" customWidth="1"/>
    <col min="6656" max="6656" width="11.42578125" style="1"/>
    <col min="6657" max="6657" width="21.5703125" style="1" customWidth="1"/>
    <col min="6658" max="6659" width="11.42578125" style="1"/>
    <col min="6660" max="6660" width="12.85546875" style="1" bestFit="1" customWidth="1"/>
    <col min="6661" max="6661" width="11.42578125" style="1"/>
    <col min="6662" max="6662" width="27.7109375" style="1" bestFit="1" customWidth="1"/>
    <col min="6663" max="6663" width="12.28515625" style="1" bestFit="1" customWidth="1"/>
    <col min="6664" max="6906" width="11.42578125" style="1"/>
    <col min="6907" max="6907" width="22.28515625" style="1" bestFit="1" customWidth="1"/>
    <col min="6908" max="6908" width="11.42578125" style="1"/>
    <col min="6909" max="6909" width="16" style="1" bestFit="1" customWidth="1"/>
    <col min="6910" max="6910" width="21.7109375" style="1" bestFit="1" customWidth="1"/>
    <col min="6911" max="6911" width="23.42578125" style="1" bestFit="1" customWidth="1"/>
    <col min="6912" max="6912" width="11.42578125" style="1"/>
    <col min="6913" max="6913" width="21.5703125" style="1" customWidth="1"/>
    <col min="6914" max="6915" width="11.42578125" style="1"/>
    <col min="6916" max="6916" width="12.85546875" style="1" bestFit="1" customWidth="1"/>
    <col min="6917" max="6917" width="11.42578125" style="1"/>
    <col min="6918" max="6918" width="27.7109375" style="1" bestFit="1" customWidth="1"/>
    <col min="6919" max="6919" width="12.28515625" style="1" bestFit="1" customWidth="1"/>
    <col min="6920" max="7162" width="11.42578125" style="1"/>
    <col min="7163" max="7163" width="22.28515625" style="1" bestFit="1" customWidth="1"/>
    <col min="7164" max="7164" width="11.42578125" style="1"/>
    <col min="7165" max="7165" width="16" style="1" bestFit="1" customWidth="1"/>
    <col min="7166" max="7166" width="21.7109375" style="1" bestFit="1" customWidth="1"/>
    <col min="7167" max="7167" width="23.42578125" style="1" bestFit="1" customWidth="1"/>
    <col min="7168" max="7168" width="11.42578125" style="1"/>
    <col min="7169" max="7169" width="21.5703125" style="1" customWidth="1"/>
    <col min="7170" max="7171" width="11.42578125" style="1"/>
    <col min="7172" max="7172" width="12.85546875" style="1" bestFit="1" customWidth="1"/>
    <col min="7173" max="7173" width="11.42578125" style="1"/>
    <col min="7174" max="7174" width="27.7109375" style="1" bestFit="1" customWidth="1"/>
    <col min="7175" max="7175" width="12.28515625" style="1" bestFit="1" customWidth="1"/>
    <col min="7176" max="7418" width="11.42578125" style="1"/>
    <col min="7419" max="7419" width="22.28515625" style="1" bestFit="1" customWidth="1"/>
    <col min="7420" max="7420" width="11.42578125" style="1"/>
    <col min="7421" max="7421" width="16" style="1" bestFit="1" customWidth="1"/>
    <col min="7422" max="7422" width="21.7109375" style="1" bestFit="1" customWidth="1"/>
    <col min="7423" max="7423" width="23.42578125" style="1" bestFit="1" customWidth="1"/>
    <col min="7424" max="7424" width="11.42578125" style="1"/>
    <col min="7425" max="7425" width="21.5703125" style="1" customWidth="1"/>
    <col min="7426" max="7427" width="11.42578125" style="1"/>
    <col min="7428" max="7428" width="12.85546875" style="1" bestFit="1" customWidth="1"/>
    <col min="7429" max="7429" width="11.42578125" style="1"/>
    <col min="7430" max="7430" width="27.7109375" style="1" bestFit="1" customWidth="1"/>
    <col min="7431" max="7431" width="12.28515625" style="1" bestFit="1" customWidth="1"/>
    <col min="7432" max="7674" width="11.42578125" style="1"/>
    <col min="7675" max="7675" width="22.28515625" style="1" bestFit="1" customWidth="1"/>
    <col min="7676" max="7676" width="11.42578125" style="1"/>
    <col min="7677" max="7677" width="16" style="1" bestFit="1" customWidth="1"/>
    <col min="7678" max="7678" width="21.7109375" style="1" bestFit="1" customWidth="1"/>
    <col min="7679" max="7679" width="23.42578125" style="1" bestFit="1" customWidth="1"/>
    <col min="7680" max="7680" width="11.42578125" style="1"/>
    <col min="7681" max="7681" width="21.5703125" style="1" customWidth="1"/>
    <col min="7682" max="7683" width="11.42578125" style="1"/>
    <col min="7684" max="7684" width="12.85546875" style="1" bestFit="1" customWidth="1"/>
    <col min="7685" max="7685" width="11.42578125" style="1"/>
    <col min="7686" max="7686" width="27.7109375" style="1" bestFit="1" customWidth="1"/>
    <col min="7687" max="7687" width="12.28515625" style="1" bestFit="1" customWidth="1"/>
    <col min="7688" max="7930" width="11.42578125" style="1"/>
    <col min="7931" max="7931" width="22.28515625" style="1" bestFit="1" customWidth="1"/>
    <col min="7932" max="7932" width="11.42578125" style="1"/>
    <col min="7933" max="7933" width="16" style="1" bestFit="1" customWidth="1"/>
    <col min="7934" max="7934" width="21.7109375" style="1" bestFit="1" customWidth="1"/>
    <col min="7935" max="7935" width="23.42578125" style="1" bestFit="1" customWidth="1"/>
    <col min="7936" max="7936" width="11.42578125" style="1"/>
    <col min="7937" max="7937" width="21.5703125" style="1" customWidth="1"/>
    <col min="7938" max="7939" width="11.42578125" style="1"/>
    <col min="7940" max="7940" width="12.85546875" style="1" bestFit="1" customWidth="1"/>
    <col min="7941" max="7941" width="11.42578125" style="1"/>
    <col min="7942" max="7942" width="27.7109375" style="1" bestFit="1" customWidth="1"/>
    <col min="7943" max="7943" width="12.28515625" style="1" bestFit="1" customWidth="1"/>
    <col min="7944" max="8186" width="11.42578125" style="1"/>
    <col min="8187" max="8187" width="22.28515625" style="1" bestFit="1" customWidth="1"/>
    <col min="8188" max="8188" width="11.42578125" style="1"/>
    <col min="8189" max="8189" width="16" style="1" bestFit="1" customWidth="1"/>
    <col min="8190" max="8190" width="21.7109375" style="1" bestFit="1" customWidth="1"/>
    <col min="8191" max="8191" width="23.42578125" style="1" bestFit="1" customWidth="1"/>
    <col min="8192" max="8192" width="11.42578125" style="1"/>
    <col min="8193" max="8193" width="21.5703125" style="1" customWidth="1"/>
    <col min="8194" max="8195" width="11.42578125" style="1"/>
    <col min="8196" max="8196" width="12.85546875" style="1" bestFit="1" customWidth="1"/>
    <col min="8197" max="8197" width="11.42578125" style="1"/>
    <col min="8198" max="8198" width="27.7109375" style="1" bestFit="1" customWidth="1"/>
    <col min="8199" max="8199" width="12.28515625" style="1" bestFit="1" customWidth="1"/>
    <col min="8200" max="8442" width="11.42578125" style="1"/>
    <col min="8443" max="8443" width="22.28515625" style="1" bestFit="1" customWidth="1"/>
    <col min="8444" max="8444" width="11.42578125" style="1"/>
    <col min="8445" max="8445" width="16" style="1" bestFit="1" customWidth="1"/>
    <col min="8446" max="8446" width="21.7109375" style="1" bestFit="1" customWidth="1"/>
    <col min="8447" max="8447" width="23.42578125" style="1" bestFit="1" customWidth="1"/>
    <col min="8448" max="8448" width="11.42578125" style="1"/>
    <col min="8449" max="8449" width="21.5703125" style="1" customWidth="1"/>
    <col min="8450" max="8451" width="11.42578125" style="1"/>
    <col min="8452" max="8452" width="12.85546875" style="1" bestFit="1" customWidth="1"/>
    <col min="8453" max="8453" width="11.42578125" style="1"/>
    <col min="8454" max="8454" width="27.7109375" style="1" bestFit="1" customWidth="1"/>
    <col min="8455" max="8455" width="12.28515625" style="1" bestFit="1" customWidth="1"/>
    <col min="8456" max="8698" width="11.42578125" style="1"/>
    <col min="8699" max="8699" width="22.28515625" style="1" bestFit="1" customWidth="1"/>
    <col min="8700" max="8700" width="11.42578125" style="1"/>
    <col min="8701" max="8701" width="16" style="1" bestFit="1" customWidth="1"/>
    <col min="8702" max="8702" width="21.7109375" style="1" bestFit="1" customWidth="1"/>
    <col min="8703" max="8703" width="23.42578125" style="1" bestFit="1" customWidth="1"/>
    <col min="8704" max="8704" width="11.42578125" style="1"/>
    <col min="8705" max="8705" width="21.5703125" style="1" customWidth="1"/>
    <col min="8706" max="8707" width="11.42578125" style="1"/>
    <col min="8708" max="8708" width="12.85546875" style="1" bestFit="1" customWidth="1"/>
    <col min="8709" max="8709" width="11.42578125" style="1"/>
    <col min="8710" max="8710" width="27.7109375" style="1" bestFit="1" customWidth="1"/>
    <col min="8711" max="8711" width="12.28515625" style="1" bestFit="1" customWidth="1"/>
    <col min="8712" max="8954" width="11.42578125" style="1"/>
    <col min="8955" max="8955" width="22.28515625" style="1" bestFit="1" customWidth="1"/>
    <col min="8956" max="8956" width="11.42578125" style="1"/>
    <col min="8957" max="8957" width="16" style="1" bestFit="1" customWidth="1"/>
    <col min="8958" max="8958" width="21.7109375" style="1" bestFit="1" customWidth="1"/>
    <col min="8959" max="8959" width="23.42578125" style="1" bestFit="1" customWidth="1"/>
    <col min="8960" max="8960" width="11.42578125" style="1"/>
    <col min="8961" max="8961" width="21.5703125" style="1" customWidth="1"/>
    <col min="8962" max="8963" width="11.42578125" style="1"/>
    <col min="8964" max="8964" width="12.85546875" style="1" bestFit="1" customWidth="1"/>
    <col min="8965" max="8965" width="11.42578125" style="1"/>
    <col min="8966" max="8966" width="27.7109375" style="1" bestFit="1" customWidth="1"/>
    <col min="8967" max="8967" width="12.28515625" style="1" bestFit="1" customWidth="1"/>
    <col min="8968" max="9210" width="11.42578125" style="1"/>
    <col min="9211" max="9211" width="22.28515625" style="1" bestFit="1" customWidth="1"/>
    <col min="9212" max="9212" width="11.42578125" style="1"/>
    <col min="9213" max="9213" width="16" style="1" bestFit="1" customWidth="1"/>
    <col min="9214" max="9214" width="21.7109375" style="1" bestFit="1" customWidth="1"/>
    <col min="9215" max="9215" width="23.42578125" style="1" bestFit="1" customWidth="1"/>
    <col min="9216" max="9216" width="11.42578125" style="1"/>
    <col min="9217" max="9217" width="21.5703125" style="1" customWidth="1"/>
    <col min="9218" max="9219" width="11.42578125" style="1"/>
    <col min="9220" max="9220" width="12.85546875" style="1" bestFit="1" customWidth="1"/>
    <col min="9221" max="9221" width="11.42578125" style="1"/>
    <col min="9222" max="9222" width="27.7109375" style="1" bestFit="1" customWidth="1"/>
    <col min="9223" max="9223" width="12.28515625" style="1" bestFit="1" customWidth="1"/>
    <col min="9224" max="9466" width="11.42578125" style="1"/>
    <col min="9467" max="9467" width="22.28515625" style="1" bestFit="1" customWidth="1"/>
    <col min="9468" max="9468" width="11.42578125" style="1"/>
    <col min="9469" max="9469" width="16" style="1" bestFit="1" customWidth="1"/>
    <col min="9470" max="9470" width="21.7109375" style="1" bestFit="1" customWidth="1"/>
    <col min="9471" max="9471" width="23.42578125" style="1" bestFit="1" customWidth="1"/>
    <col min="9472" max="9472" width="11.42578125" style="1"/>
    <col min="9473" max="9473" width="21.5703125" style="1" customWidth="1"/>
    <col min="9474" max="9475" width="11.42578125" style="1"/>
    <col min="9476" max="9476" width="12.85546875" style="1" bestFit="1" customWidth="1"/>
    <col min="9477" max="9477" width="11.42578125" style="1"/>
    <col min="9478" max="9478" width="27.7109375" style="1" bestFit="1" customWidth="1"/>
    <col min="9479" max="9479" width="12.28515625" style="1" bestFit="1" customWidth="1"/>
    <col min="9480" max="9722" width="11.42578125" style="1"/>
    <col min="9723" max="9723" width="22.28515625" style="1" bestFit="1" customWidth="1"/>
    <col min="9724" max="9724" width="11.42578125" style="1"/>
    <col min="9725" max="9725" width="16" style="1" bestFit="1" customWidth="1"/>
    <col min="9726" max="9726" width="21.7109375" style="1" bestFit="1" customWidth="1"/>
    <col min="9727" max="9727" width="23.42578125" style="1" bestFit="1" customWidth="1"/>
    <col min="9728" max="9728" width="11.42578125" style="1"/>
    <col min="9729" max="9729" width="21.5703125" style="1" customWidth="1"/>
    <col min="9730" max="9731" width="11.42578125" style="1"/>
    <col min="9732" max="9732" width="12.85546875" style="1" bestFit="1" customWidth="1"/>
    <col min="9733" max="9733" width="11.42578125" style="1"/>
    <col min="9734" max="9734" width="27.7109375" style="1" bestFit="1" customWidth="1"/>
    <col min="9735" max="9735" width="12.28515625" style="1" bestFit="1" customWidth="1"/>
    <col min="9736" max="9978" width="11.42578125" style="1"/>
    <col min="9979" max="9979" width="22.28515625" style="1" bestFit="1" customWidth="1"/>
    <col min="9980" max="9980" width="11.42578125" style="1"/>
    <col min="9981" max="9981" width="16" style="1" bestFit="1" customWidth="1"/>
    <col min="9982" max="9982" width="21.7109375" style="1" bestFit="1" customWidth="1"/>
    <col min="9983" max="9983" width="23.42578125" style="1" bestFit="1" customWidth="1"/>
    <col min="9984" max="9984" width="11.42578125" style="1"/>
    <col min="9985" max="9985" width="21.5703125" style="1" customWidth="1"/>
    <col min="9986" max="9987" width="11.42578125" style="1"/>
    <col min="9988" max="9988" width="12.85546875" style="1" bestFit="1" customWidth="1"/>
    <col min="9989" max="9989" width="11.42578125" style="1"/>
    <col min="9990" max="9990" width="27.7109375" style="1" bestFit="1" customWidth="1"/>
    <col min="9991" max="9991" width="12.28515625" style="1" bestFit="1" customWidth="1"/>
    <col min="9992" max="10234" width="11.42578125" style="1"/>
    <col min="10235" max="10235" width="22.28515625" style="1" bestFit="1" customWidth="1"/>
    <col min="10236" max="10236" width="11.42578125" style="1"/>
    <col min="10237" max="10237" width="16" style="1" bestFit="1" customWidth="1"/>
    <col min="10238" max="10238" width="21.7109375" style="1" bestFit="1" customWidth="1"/>
    <col min="10239" max="10239" width="23.42578125" style="1" bestFit="1" customWidth="1"/>
    <col min="10240" max="10240" width="11.42578125" style="1"/>
    <col min="10241" max="10241" width="21.5703125" style="1" customWidth="1"/>
    <col min="10242" max="10243" width="11.42578125" style="1"/>
    <col min="10244" max="10244" width="12.85546875" style="1" bestFit="1" customWidth="1"/>
    <col min="10245" max="10245" width="11.42578125" style="1"/>
    <col min="10246" max="10246" width="27.7109375" style="1" bestFit="1" customWidth="1"/>
    <col min="10247" max="10247" width="12.28515625" style="1" bestFit="1" customWidth="1"/>
    <col min="10248" max="10490" width="11.42578125" style="1"/>
    <col min="10491" max="10491" width="22.28515625" style="1" bestFit="1" customWidth="1"/>
    <col min="10492" max="10492" width="11.42578125" style="1"/>
    <col min="10493" max="10493" width="16" style="1" bestFit="1" customWidth="1"/>
    <col min="10494" max="10494" width="21.7109375" style="1" bestFit="1" customWidth="1"/>
    <col min="10495" max="10495" width="23.42578125" style="1" bestFit="1" customWidth="1"/>
    <col min="10496" max="10496" width="11.42578125" style="1"/>
    <col min="10497" max="10497" width="21.5703125" style="1" customWidth="1"/>
    <col min="10498" max="10499" width="11.42578125" style="1"/>
    <col min="10500" max="10500" width="12.85546875" style="1" bestFit="1" customWidth="1"/>
    <col min="10501" max="10501" width="11.42578125" style="1"/>
    <col min="10502" max="10502" width="27.7109375" style="1" bestFit="1" customWidth="1"/>
    <col min="10503" max="10503" width="12.28515625" style="1" bestFit="1" customWidth="1"/>
    <col min="10504" max="10746" width="11.42578125" style="1"/>
    <col min="10747" max="10747" width="22.28515625" style="1" bestFit="1" customWidth="1"/>
    <col min="10748" max="10748" width="11.42578125" style="1"/>
    <col min="10749" max="10749" width="16" style="1" bestFit="1" customWidth="1"/>
    <col min="10750" max="10750" width="21.7109375" style="1" bestFit="1" customWidth="1"/>
    <col min="10751" max="10751" width="23.42578125" style="1" bestFit="1" customWidth="1"/>
    <col min="10752" max="10752" width="11.42578125" style="1"/>
    <col min="10753" max="10753" width="21.5703125" style="1" customWidth="1"/>
    <col min="10754" max="10755" width="11.42578125" style="1"/>
    <col min="10756" max="10756" width="12.85546875" style="1" bestFit="1" customWidth="1"/>
    <col min="10757" max="10757" width="11.42578125" style="1"/>
    <col min="10758" max="10758" width="27.7109375" style="1" bestFit="1" customWidth="1"/>
    <col min="10759" max="10759" width="12.28515625" style="1" bestFit="1" customWidth="1"/>
    <col min="10760" max="11002" width="11.42578125" style="1"/>
    <col min="11003" max="11003" width="22.28515625" style="1" bestFit="1" customWidth="1"/>
    <col min="11004" max="11004" width="11.42578125" style="1"/>
    <col min="11005" max="11005" width="16" style="1" bestFit="1" customWidth="1"/>
    <col min="11006" max="11006" width="21.7109375" style="1" bestFit="1" customWidth="1"/>
    <col min="11007" max="11007" width="23.42578125" style="1" bestFit="1" customWidth="1"/>
    <col min="11008" max="11008" width="11.42578125" style="1"/>
    <col min="11009" max="11009" width="21.5703125" style="1" customWidth="1"/>
    <col min="11010" max="11011" width="11.42578125" style="1"/>
    <col min="11012" max="11012" width="12.85546875" style="1" bestFit="1" customWidth="1"/>
    <col min="11013" max="11013" width="11.42578125" style="1"/>
    <col min="11014" max="11014" width="27.7109375" style="1" bestFit="1" customWidth="1"/>
    <col min="11015" max="11015" width="12.28515625" style="1" bestFit="1" customWidth="1"/>
    <col min="11016" max="11258" width="11.42578125" style="1"/>
    <col min="11259" max="11259" width="22.28515625" style="1" bestFit="1" customWidth="1"/>
    <col min="11260" max="11260" width="11.42578125" style="1"/>
    <col min="11261" max="11261" width="16" style="1" bestFit="1" customWidth="1"/>
    <col min="11262" max="11262" width="21.7109375" style="1" bestFit="1" customWidth="1"/>
    <col min="11263" max="11263" width="23.42578125" style="1" bestFit="1" customWidth="1"/>
    <col min="11264" max="11264" width="11.42578125" style="1"/>
    <col min="11265" max="11265" width="21.5703125" style="1" customWidth="1"/>
    <col min="11266" max="11267" width="11.42578125" style="1"/>
    <col min="11268" max="11268" width="12.85546875" style="1" bestFit="1" customWidth="1"/>
    <col min="11269" max="11269" width="11.42578125" style="1"/>
    <col min="11270" max="11270" width="27.7109375" style="1" bestFit="1" customWidth="1"/>
    <col min="11271" max="11271" width="12.28515625" style="1" bestFit="1" customWidth="1"/>
    <col min="11272" max="11514" width="11.42578125" style="1"/>
    <col min="11515" max="11515" width="22.28515625" style="1" bestFit="1" customWidth="1"/>
    <col min="11516" max="11516" width="11.42578125" style="1"/>
    <col min="11517" max="11517" width="16" style="1" bestFit="1" customWidth="1"/>
    <col min="11518" max="11518" width="21.7109375" style="1" bestFit="1" customWidth="1"/>
    <col min="11519" max="11519" width="23.42578125" style="1" bestFit="1" customWidth="1"/>
    <col min="11520" max="11520" width="11.42578125" style="1"/>
    <col min="11521" max="11521" width="21.5703125" style="1" customWidth="1"/>
    <col min="11522" max="11523" width="11.42578125" style="1"/>
    <col min="11524" max="11524" width="12.85546875" style="1" bestFit="1" customWidth="1"/>
    <col min="11525" max="11525" width="11.42578125" style="1"/>
    <col min="11526" max="11526" width="27.7109375" style="1" bestFit="1" customWidth="1"/>
    <col min="11527" max="11527" width="12.28515625" style="1" bestFit="1" customWidth="1"/>
    <col min="11528" max="11770" width="11.42578125" style="1"/>
    <col min="11771" max="11771" width="22.28515625" style="1" bestFit="1" customWidth="1"/>
    <col min="11772" max="11772" width="11.42578125" style="1"/>
    <col min="11773" max="11773" width="16" style="1" bestFit="1" customWidth="1"/>
    <col min="11774" max="11774" width="21.7109375" style="1" bestFit="1" customWidth="1"/>
    <col min="11775" max="11775" width="23.42578125" style="1" bestFit="1" customWidth="1"/>
    <col min="11776" max="11776" width="11.42578125" style="1"/>
    <col min="11777" max="11777" width="21.5703125" style="1" customWidth="1"/>
    <col min="11778" max="11779" width="11.42578125" style="1"/>
    <col min="11780" max="11780" width="12.85546875" style="1" bestFit="1" customWidth="1"/>
    <col min="11781" max="11781" width="11.42578125" style="1"/>
    <col min="11782" max="11782" width="27.7109375" style="1" bestFit="1" customWidth="1"/>
    <col min="11783" max="11783" width="12.28515625" style="1" bestFit="1" customWidth="1"/>
    <col min="11784" max="12026" width="11.42578125" style="1"/>
    <col min="12027" max="12027" width="22.28515625" style="1" bestFit="1" customWidth="1"/>
    <col min="12028" max="12028" width="11.42578125" style="1"/>
    <col min="12029" max="12029" width="16" style="1" bestFit="1" customWidth="1"/>
    <col min="12030" max="12030" width="21.7109375" style="1" bestFit="1" customWidth="1"/>
    <col min="12031" max="12031" width="23.42578125" style="1" bestFit="1" customWidth="1"/>
    <col min="12032" max="12032" width="11.42578125" style="1"/>
    <col min="12033" max="12033" width="21.5703125" style="1" customWidth="1"/>
    <col min="12034" max="12035" width="11.42578125" style="1"/>
    <col min="12036" max="12036" width="12.85546875" style="1" bestFit="1" customWidth="1"/>
    <col min="12037" max="12037" width="11.42578125" style="1"/>
    <col min="12038" max="12038" width="27.7109375" style="1" bestFit="1" customWidth="1"/>
    <col min="12039" max="12039" width="12.28515625" style="1" bestFit="1" customWidth="1"/>
    <col min="12040" max="12282" width="11.42578125" style="1"/>
    <col min="12283" max="12283" width="22.28515625" style="1" bestFit="1" customWidth="1"/>
    <col min="12284" max="12284" width="11.42578125" style="1"/>
    <col min="12285" max="12285" width="16" style="1" bestFit="1" customWidth="1"/>
    <col min="12286" max="12286" width="21.7109375" style="1" bestFit="1" customWidth="1"/>
    <col min="12287" max="12287" width="23.42578125" style="1" bestFit="1" customWidth="1"/>
    <col min="12288" max="12288" width="11.42578125" style="1"/>
    <col min="12289" max="12289" width="21.5703125" style="1" customWidth="1"/>
    <col min="12290" max="12291" width="11.42578125" style="1"/>
    <col min="12292" max="12292" width="12.85546875" style="1" bestFit="1" customWidth="1"/>
    <col min="12293" max="12293" width="11.42578125" style="1"/>
    <col min="12294" max="12294" width="27.7109375" style="1" bestFit="1" customWidth="1"/>
    <col min="12295" max="12295" width="12.28515625" style="1" bestFit="1" customWidth="1"/>
    <col min="12296" max="12538" width="11.42578125" style="1"/>
    <col min="12539" max="12539" width="22.28515625" style="1" bestFit="1" customWidth="1"/>
    <col min="12540" max="12540" width="11.42578125" style="1"/>
    <col min="12541" max="12541" width="16" style="1" bestFit="1" customWidth="1"/>
    <col min="12542" max="12542" width="21.7109375" style="1" bestFit="1" customWidth="1"/>
    <col min="12543" max="12543" width="23.42578125" style="1" bestFit="1" customWidth="1"/>
    <col min="12544" max="12544" width="11.42578125" style="1"/>
    <col min="12545" max="12545" width="21.5703125" style="1" customWidth="1"/>
    <col min="12546" max="12547" width="11.42578125" style="1"/>
    <col min="12548" max="12548" width="12.85546875" style="1" bestFit="1" customWidth="1"/>
    <col min="12549" max="12549" width="11.42578125" style="1"/>
    <col min="12550" max="12550" width="27.7109375" style="1" bestFit="1" customWidth="1"/>
    <col min="12551" max="12551" width="12.28515625" style="1" bestFit="1" customWidth="1"/>
    <col min="12552" max="12794" width="11.42578125" style="1"/>
    <col min="12795" max="12795" width="22.28515625" style="1" bestFit="1" customWidth="1"/>
    <col min="12796" max="12796" width="11.42578125" style="1"/>
    <col min="12797" max="12797" width="16" style="1" bestFit="1" customWidth="1"/>
    <col min="12798" max="12798" width="21.7109375" style="1" bestFit="1" customWidth="1"/>
    <col min="12799" max="12799" width="23.42578125" style="1" bestFit="1" customWidth="1"/>
    <col min="12800" max="12800" width="11.42578125" style="1"/>
    <col min="12801" max="12801" width="21.5703125" style="1" customWidth="1"/>
    <col min="12802" max="12803" width="11.42578125" style="1"/>
    <col min="12804" max="12804" width="12.85546875" style="1" bestFit="1" customWidth="1"/>
    <col min="12805" max="12805" width="11.42578125" style="1"/>
    <col min="12806" max="12806" width="27.7109375" style="1" bestFit="1" customWidth="1"/>
    <col min="12807" max="12807" width="12.28515625" style="1" bestFit="1" customWidth="1"/>
    <col min="12808" max="13050" width="11.42578125" style="1"/>
    <col min="13051" max="13051" width="22.28515625" style="1" bestFit="1" customWidth="1"/>
    <col min="13052" max="13052" width="11.42578125" style="1"/>
    <col min="13053" max="13053" width="16" style="1" bestFit="1" customWidth="1"/>
    <col min="13054" max="13054" width="21.7109375" style="1" bestFit="1" customWidth="1"/>
    <col min="13055" max="13055" width="23.42578125" style="1" bestFit="1" customWidth="1"/>
    <col min="13056" max="13056" width="11.42578125" style="1"/>
    <col min="13057" max="13057" width="21.5703125" style="1" customWidth="1"/>
    <col min="13058" max="13059" width="11.42578125" style="1"/>
    <col min="13060" max="13060" width="12.85546875" style="1" bestFit="1" customWidth="1"/>
    <col min="13061" max="13061" width="11.42578125" style="1"/>
    <col min="13062" max="13062" width="27.7109375" style="1" bestFit="1" customWidth="1"/>
    <col min="13063" max="13063" width="12.28515625" style="1" bestFit="1" customWidth="1"/>
    <col min="13064" max="13306" width="11.42578125" style="1"/>
    <col min="13307" max="13307" width="22.28515625" style="1" bestFit="1" customWidth="1"/>
    <col min="13308" max="13308" width="11.42578125" style="1"/>
    <col min="13309" max="13309" width="16" style="1" bestFit="1" customWidth="1"/>
    <col min="13310" max="13310" width="21.7109375" style="1" bestFit="1" customWidth="1"/>
    <col min="13311" max="13311" width="23.42578125" style="1" bestFit="1" customWidth="1"/>
    <col min="13312" max="13312" width="11.42578125" style="1"/>
    <col min="13313" max="13313" width="21.5703125" style="1" customWidth="1"/>
    <col min="13314" max="13315" width="11.42578125" style="1"/>
    <col min="13316" max="13316" width="12.85546875" style="1" bestFit="1" customWidth="1"/>
    <col min="13317" max="13317" width="11.42578125" style="1"/>
    <col min="13318" max="13318" width="27.7109375" style="1" bestFit="1" customWidth="1"/>
    <col min="13319" max="13319" width="12.28515625" style="1" bestFit="1" customWidth="1"/>
    <col min="13320" max="13562" width="11.42578125" style="1"/>
    <col min="13563" max="13563" width="22.28515625" style="1" bestFit="1" customWidth="1"/>
    <col min="13564" max="13564" width="11.42578125" style="1"/>
    <col min="13565" max="13565" width="16" style="1" bestFit="1" customWidth="1"/>
    <col min="13566" max="13566" width="21.7109375" style="1" bestFit="1" customWidth="1"/>
    <col min="13567" max="13567" width="23.42578125" style="1" bestFit="1" customWidth="1"/>
    <col min="13568" max="13568" width="11.42578125" style="1"/>
    <col min="13569" max="13569" width="21.5703125" style="1" customWidth="1"/>
    <col min="13570" max="13571" width="11.42578125" style="1"/>
    <col min="13572" max="13572" width="12.85546875" style="1" bestFit="1" customWidth="1"/>
    <col min="13573" max="13573" width="11.42578125" style="1"/>
    <col min="13574" max="13574" width="27.7109375" style="1" bestFit="1" customWidth="1"/>
    <col min="13575" max="13575" width="12.28515625" style="1" bestFit="1" customWidth="1"/>
    <col min="13576" max="13818" width="11.42578125" style="1"/>
    <col min="13819" max="13819" width="22.28515625" style="1" bestFit="1" customWidth="1"/>
    <col min="13820" max="13820" width="11.42578125" style="1"/>
    <col min="13821" max="13821" width="16" style="1" bestFit="1" customWidth="1"/>
    <col min="13822" max="13822" width="21.7109375" style="1" bestFit="1" customWidth="1"/>
    <col min="13823" max="13823" width="23.42578125" style="1" bestFit="1" customWidth="1"/>
    <col min="13824" max="13824" width="11.42578125" style="1"/>
    <col min="13825" max="13825" width="21.5703125" style="1" customWidth="1"/>
    <col min="13826" max="13827" width="11.42578125" style="1"/>
    <col min="13828" max="13828" width="12.85546875" style="1" bestFit="1" customWidth="1"/>
    <col min="13829" max="13829" width="11.42578125" style="1"/>
    <col min="13830" max="13830" width="27.7109375" style="1" bestFit="1" customWidth="1"/>
    <col min="13831" max="13831" width="12.28515625" style="1" bestFit="1" customWidth="1"/>
    <col min="13832" max="14074" width="11.42578125" style="1"/>
    <col min="14075" max="14075" width="22.28515625" style="1" bestFit="1" customWidth="1"/>
    <col min="14076" max="14076" width="11.42578125" style="1"/>
    <col min="14077" max="14077" width="16" style="1" bestFit="1" customWidth="1"/>
    <col min="14078" max="14078" width="21.7109375" style="1" bestFit="1" customWidth="1"/>
    <col min="14079" max="14079" width="23.42578125" style="1" bestFit="1" customWidth="1"/>
    <col min="14080" max="14080" width="11.42578125" style="1"/>
    <col min="14081" max="14081" width="21.5703125" style="1" customWidth="1"/>
    <col min="14082" max="14083" width="11.42578125" style="1"/>
    <col min="14084" max="14084" width="12.85546875" style="1" bestFit="1" customWidth="1"/>
    <col min="14085" max="14085" width="11.42578125" style="1"/>
    <col min="14086" max="14086" width="27.7109375" style="1" bestFit="1" customWidth="1"/>
    <col min="14087" max="14087" width="12.28515625" style="1" bestFit="1" customWidth="1"/>
    <col min="14088" max="14330" width="11.42578125" style="1"/>
    <col min="14331" max="14331" width="22.28515625" style="1" bestFit="1" customWidth="1"/>
    <col min="14332" max="14332" width="11.42578125" style="1"/>
    <col min="14333" max="14333" width="16" style="1" bestFit="1" customWidth="1"/>
    <col min="14334" max="14334" width="21.7109375" style="1" bestFit="1" customWidth="1"/>
    <col min="14335" max="14335" width="23.42578125" style="1" bestFit="1" customWidth="1"/>
    <col min="14336" max="14336" width="11.42578125" style="1"/>
    <col min="14337" max="14337" width="21.5703125" style="1" customWidth="1"/>
    <col min="14338" max="14339" width="11.42578125" style="1"/>
    <col min="14340" max="14340" width="12.85546875" style="1" bestFit="1" customWidth="1"/>
    <col min="14341" max="14341" width="11.42578125" style="1"/>
    <col min="14342" max="14342" width="27.7109375" style="1" bestFit="1" customWidth="1"/>
    <col min="14343" max="14343" width="12.28515625" style="1" bestFit="1" customWidth="1"/>
    <col min="14344" max="14586" width="11.42578125" style="1"/>
    <col min="14587" max="14587" width="22.28515625" style="1" bestFit="1" customWidth="1"/>
    <col min="14588" max="14588" width="11.42578125" style="1"/>
    <col min="14589" max="14589" width="16" style="1" bestFit="1" customWidth="1"/>
    <col min="14590" max="14590" width="21.7109375" style="1" bestFit="1" customWidth="1"/>
    <col min="14591" max="14591" width="23.42578125" style="1" bestFit="1" customWidth="1"/>
    <col min="14592" max="14592" width="11.42578125" style="1"/>
    <col min="14593" max="14593" width="21.5703125" style="1" customWidth="1"/>
    <col min="14594" max="14595" width="11.42578125" style="1"/>
    <col min="14596" max="14596" width="12.85546875" style="1" bestFit="1" customWidth="1"/>
    <col min="14597" max="14597" width="11.42578125" style="1"/>
    <col min="14598" max="14598" width="27.7109375" style="1" bestFit="1" customWidth="1"/>
    <col min="14599" max="14599" width="12.28515625" style="1" bestFit="1" customWidth="1"/>
    <col min="14600" max="14842" width="11.42578125" style="1"/>
    <col min="14843" max="14843" width="22.28515625" style="1" bestFit="1" customWidth="1"/>
    <col min="14844" max="14844" width="11.42578125" style="1"/>
    <col min="14845" max="14845" width="16" style="1" bestFit="1" customWidth="1"/>
    <col min="14846" max="14846" width="21.7109375" style="1" bestFit="1" customWidth="1"/>
    <col min="14847" max="14847" width="23.42578125" style="1" bestFit="1" customWidth="1"/>
    <col min="14848" max="14848" width="11.42578125" style="1"/>
    <col min="14849" max="14849" width="21.5703125" style="1" customWidth="1"/>
    <col min="14850" max="14851" width="11.42578125" style="1"/>
    <col min="14852" max="14852" width="12.85546875" style="1" bestFit="1" customWidth="1"/>
    <col min="14853" max="14853" width="11.42578125" style="1"/>
    <col min="14854" max="14854" width="27.7109375" style="1" bestFit="1" customWidth="1"/>
    <col min="14855" max="14855" width="12.28515625" style="1" bestFit="1" customWidth="1"/>
    <col min="14856" max="15098" width="11.42578125" style="1"/>
    <col min="15099" max="15099" width="22.28515625" style="1" bestFit="1" customWidth="1"/>
    <col min="15100" max="15100" width="11.42578125" style="1"/>
    <col min="15101" max="15101" width="16" style="1" bestFit="1" customWidth="1"/>
    <col min="15102" max="15102" width="21.7109375" style="1" bestFit="1" customWidth="1"/>
    <col min="15103" max="15103" width="23.42578125" style="1" bestFit="1" customWidth="1"/>
    <col min="15104" max="15104" width="11.42578125" style="1"/>
    <col min="15105" max="15105" width="21.5703125" style="1" customWidth="1"/>
    <col min="15106" max="15107" width="11.42578125" style="1"/>
    <col min="15108" max="15108" width="12.85546875" style="1" bestFit="1" customWidth="1"/>
    <col min="15109" max="15109" width="11.42578125" style="1"/>
    <col min="15110" max="15110" width="27.7109375" style="1" bestFit="1" customWidth="1"/>
    <col min="15111" max="15111" width="12.28515625" style="1" bestFit="1" customWidth="1"/>
    <col min="15112" max="15354" width="11.42578125" style="1"/>
    <col min="15355" max="15355" width="22.28515625" style="1" bestFit="1" customWidth="1"/>
    <col min="15356" max="15356" width="11.42578125" style="1"/>
    <col min="15357" max="15357" width="16" style="1" bestFit="1" customWidth="1"/>
    <col min="15358" max="15358" width="21.7109375" style="1" bestFit="1" customWidth="1"/>
    <col min="15359" max="15359" width="23.42578125" style="1" bestFit="1" customWidth="1"/>
    <col min="15360" max="15360" width="11.42578125" style="1"/>
    <col min="15361" max="15361" width="21.5703125" style="1" customWidth="1"/>
    <col min="15362" max="15363" width="11.42578125" style="1"/>
    <col min="15364" max="15364" width="12.85546875" style="1" bestFit="1" customWidth="1"/>
    <col min="15365" max="15365" width="11.42578125" style="1"/>
    <col min="15366" max="15366" width="27.7109375" style="1" bestFit="1" customWidth="1"/>
    <col min="15367" max="15367" width="12.28515625" style="1" bestFit="1" customWidth="1"/>
    <col min="15368" max="15610" width="11.42578125" style="1"/>
    <col min="15611" max="15611" width="22.28515625" style="1" bestFit="1" customWidth="1"/>
    <col min="15612" max="15612" width="11.42578125" style="1"/>
    <col min="15613" max="15613" width="16" style="1" bestFit="1" customWidth="1"/>
    <col min="15614" max="15614" width="21.7109375" style="1" bestFit="1" customWidth="1"/>
    <col min="15615" max="15615" width="23.42578125" style="1" bestFit="1" customWidth="1"/>
    <col min="15616" max="15616" width="11.42578125" style="1"/>
    <col min="15617" max="15617" width="21.5703125" style="1" customWidth="1"/>
    <col min="15618" max="15619" width="11.42578125" style="1"/>
    <col min="15620" max="15620" width="12.85546875" style="1" bestFit="1" customWidth="1"/>
    <col min="15621" max="15621" width="11.42578125" style="1"/>
    <col min="15622" max="15622" width="27.7109375" style="1" bestFit="1" customWidth="1"/>
    <col min="15623" max="15623" width="12.28515625" style="1" bestFit="1" customWidth="1"/>
    <col min="15624" max="15866" width="11.42578125" style="1"/>
    <col min="15867" max="15867" width="22.28515625" style="1" bestFit="1" customWidth="1"/>
    <col min="15868" max="15868" width="11.42578125" style="1"/>
    <col min="15869" max="15869" width="16" style="1" bestFit="1" customWidth="1"/>
    <col min="15870" max="15870" width="21.7109375" style="1" bestFit="1" customWidth="1"/>
    <col min="15871" max="15871" width="23.42578125" style="1" bestFit="1" customWidth="1"/>
    <col min="15872" max="15872" width="11.42578125" style="1"/>
    <col min="15873" max="15873" width="21.5703125" style="1" customWidth="1"/>
    <col min="15874" max="15875" width="11.42578125" style="1"/>
    <col min="15876" max="15876" width="12.85546875" style="1" bestFit="1" customWidth="1"/>
    <col min="15877" max="15877" width="11.42578125" style="1"/>
    <col min="15878" max="15878" width="27.7109375" style="1" bestFit="1" customWidth="1"/>
    <col min="15879" max="15879" width="12.28515625" style="1" bestFit="1" customWidth="1"/>
    <col min="15880" max="16122" width="11.42578125" style="1"/>
    <col min="16123" max="16123" width="22.28515625" style="1" bestFit="1" customWidth="1"/>
    <col min="16124" max="16124" width="11.42578125" style="1"/>
    <col min="16125" max="16125" width="16" style="1" bestFit="1" customWidth="1"/>
    <col min="16126" max="16126" width="21.7109375" style="1" bestFit="1" customWidth="1"/>
    <col min="16127" max="16127" width="23.42578125" style="1" bestFit="1" customWidth="1"/>
    <col min="16128" max="16128" width="11.42578125" style="1"/>
    <col min="16129" max="16129" width="21.5703125" style="1" customWidth="1"/>
    <col min="16130" max="16131" width="11.42578125" style="1"/>
    <col min="16132" max="16132" width="12.85546875" style="1" bestFit="1" customWidth="1"/>
    <col min="16133" max="16133" width="11.42578125" style="1"/>
    <col min="16134" max="16134" width="27.7109375" style="1" bestFit="1" customWidth="1"/>
    <col min="16135" max="16135" width="12.28515625" style="1" bestFit="1" customWidth="1"/>
    <col min="16136" max="16384" width="11.42578125" style="1"/>
  </cols>
  <sheetData>
    <row r="1" spans="2:31" s="7" customFormat="1" ht="50.1" customHeight="1" thickBot="1" x14ac:dyDescent="0.25">
      <c r="B1" s="779" t="s">
        <v>246</v>
      </c>
      <c r="C1" s="780"/>
      <c r="D1" s="780"/>
      <c r="E1" s="780"/>
      <c r="F1" s="780"/>
      <c r="G1" s="780"/>
      <c r="H1" s="780"/>
      <c r="I1" s="780"/>
      <c r="J1" s="780"/>
      <c r="K1" s="780"/>
      <c r="L1" s="780"/>
      <c r="M1" s="780"/>
      <c r="N1" s="781"/>
      <c r="O1" s="77"/>
      <c r="P1" s="64"/>
      <c r="Q1" s="65"/>
      <c r="R1" s="33"/>
      <c r="S1" s="33"/>
      <c r="T1" s="33"/>
      <c r="U1" s="33"/>
      <c r="V1" s="33"/>
      <c r="W1" s="33"/>
      <c r="X1" s="33"/>
      <c r="Y1" s="33"/>
      <c r="Z1" s="33"/>
      <c r="AA1" s="33"/>
      <c r="AB1" s="33"/>
      <c r="AC1" s="33"/>
      <c r="AD1" s="33"/>
      <c r="AE1" s="33"/>
    </row>
    <row r="2" spans="2:31" ht="24.95" customHeight="1" thickBot="1" x14ac:dyDescent="0.25">
      <c r="B2" s="835" t="s">
        <v>16</v>
      </c>
      <c r="C2" s="835"/>
      <c r="D2" s="836">
        <v>44018</v>
      </c>
      <c r="E2" s="837"/>
      <c r="F2" s="117"/>
      <c r="G2" s="835" t="s">
        <v>35</v>
      </c>
      <c r="H2" s="835"/>
      <c r="I2" s="838">
        <f ca="1">NOW()</f>
        <v>45720.672637847223</v>
      </c>
      <c r="J2" s="838"/>
      <c r="K2" s="118"/>
      <c r="L2" s="119"/>
      <c r="M2" s="839" t="s">
        <v>19</v>
      </c>
      <c r="N2" s="839"/>
    </row>
    <row r="3" spans="2:31" ht="24.95" customHeight="1" thickBot="1" x14ac:dyDescent="0.25">
      <c r="B3" s="840" t="s">
        <v>17</v>
      </c>
      <c r="C3" s="840"/>
      <c r="D3" s="841">
        <v>44981</v>
      </c>
      <c r="E3" s="842"/>
      <c r="F3" s="843"/>
      <c r="G3" s="119"/>
      <c r="H3" s="686" t="s">
        <v>244</v>
      </c>
      <c r="I3" s="844">
        <v>0.47916666666666669</v>
      </c>
      <c r="J3" s="845"/>
      <c r="K3" s="119"/>
      <c r="L3" s="119"/>
      <c r="M3" s="846"/>
      <c r="N3" s="847"/>
    </row>
    <row r="4" spans="2:31" ht="24.95" customHeight="1" thickBot="1" x14ac:dyDescent="0.25">
      <c r="B4" s="23"/>
      <c r="C4" s="23"/>
      <c r="M4" s="848" t="str">
        <f>IF((Capacité_carburant_Max_01-Carburant_utilisable_01)&gt;0,Capacité_carburant_Max_01-Carburant_utilisable_01,"Tout le carburant est utilisable.")</f>
        <v>Tout le carburant est utilisable.</v>
      </c>
      <c r="N4" s="848"/>
      <c r="R4" s="10"/>
      <c r="S4" s="10"/>
      <c r="T4" s="45" t="s">
        <v>142</v>
      </c>
      <c r="U4" s="10"/>
      <c r="V4" s="46"/>
    </row>
    <row r="5" spans="2:31" ht="24.95" customHeight="1" thickBot="1" x14ac:dyDescent="0.25">
      <c r="C5" s="829" t="s">
        <v>50</v>
      </c>
      <c r="D5" s="830"/>
      <c r="E5" s="830"/>
      <c r="F5" s="831"/>
      <c r="H5" s="832" t="str">
        <f>UPPER("Génération du graphique")</f>
        <v>GÉNÉRATION DU GRAPHIQUE</v>
      </c>
      <c r="I5" s="833"/>
      <c r="J5" s="833"/>
      <c r="K5" s="834"/>
      <c r="L5" s="2"/>
      <c r="M5" s="829" t="s">
        <v>42</v>
      </c>
      <c r="N5" s="831"/>
      <c r="O5" s="81"/>
      <c r="P5" s="67" t="s">
        <v>14</v>
      </c>
      <c r="R5" s="10"/>
      <c r="S5" s="10"/>
      <c r="T5" s="46" t="s">
        <v>100</v>
      </c>
      <c r="U5" s="48">
        <f>C20</f>
        <v>680</v>
      </c>
      <c r="V5" s="10">
        <v>356</v>
      </c>
    </row>
    <row r="6" spans="2:31" s="2" customFormat="1" ht="39" customHeight="1" thickBot="1" x14ac:dyDescent="0.25">
      <c r="B6" s="4"/>
      <c r="C6" s="107" t="s">
        <v>0</v>
      </c>
      <c r="D6" s="102" t="s">
        <v>11</v>
      </c>
      <c r="E6" s="102" t="s">
        <v>10</v>
      </c>
      <c r="F6" s="108" t="s">
        <v>9</v>
      </c>
      <c r="H6" s="225" t="s">
        <v>75</v>
      </c>
      <c r="I6" s="39" t="s">
        <v>2</v>
      </c>
      <c r="J6" s="39" t="s">
        <v>3</v>
      </c>
      <c r="K6" s="226" t="s">
        <v>13</v>
      </c>
      <c r="L6" s="1"/>
      <c r="M6" s="250" t="s">
        <v>118</v>
      </c>
      <c r="N6" s="251">
        <v>0.72</v>
      </c>
      <c r="O6" s="216"/>
      <c r="P6" s="71" t="s">
        <v>15</v>
      </c>
      <c r="Q6" s="72"/>
      <c r="R6" s="11"/>
      <c r="S6" s="11"/>
      <c r="T6" s="46" t="s">
        <v>101</v>
      </c>
      <c r="U6" s="48">
        <f>D7</f>
        <v>453.5</v>
      </c>
      <c r="V6" s="10">
        <v>356</v>
      </c>
      <c r="W6" s="36"/>
      <c r="X6" s="36"/>
      <c r="Y6" s="36"/>
      <c r="Z6" s="36"/>
      <c r="AA6" s="36"/>
      <c r="AB6" s="36"/>
      <c r="AC6" s="36"/>
      <c r="AD6" s="36"/>
      <c r="AE6" s="36"/>
    </row>
    <row r="7" spans="2:31" ht="24.95" customHeight="1" thickBot="1" x14ac:dyDescent="0.25">
      <c r="B7" s="111" t="s">
        <v>1</v>
      </c>
      <c r="C7" s="365"/>
      <c r="D7" s="112">
        <v>453.5</v>
      </c>
      <c r="E7" s="113">
        <v>0.46660000000000001</v>
      </c>
      <c r="F7" s="114">
        <f>E7*D7</f>
        <v>211.60310000000001</v>
      </c>
      <c r="H7" s="232" t="s">
        <v>86</v>
      </c>
      <c r="I7" s="233">
        <v>0.29199999999999998</v>
      </c>
      <c r="J7" s="234">
        <f>Masse_à_vide_01</f>
        <v>453.5</v>
      </c>
      <c r="K7" s="235">
        <f t="shared" ref="K7:K12" si="0">I7/J7</f>
        <v>6.4388092613009915E-4</v>
      </c>
      <c r="M7" s="252" t="s">
        <v>72</v>
      </c>
      <c r="N7" s="268">
        <f>Carburant_Aile_Droite_01+Carburant_Aile_Gauche_01</f>
        <v>50</v>
      </c>
      <c r="R7" s="785" t="str">
        <f>UPPER("Moment à l'atterrissage")</f>
        <v>MOMENT À L'ATTERRISSAGE</v>
      </c>
      <c r="S7" s="786"/>
      <c r="T7" s="128" t="s">
        <v>106</v>
      </c>
      <c r="U7" s="128" t="s">
        <v>105</v>
      </c>
      <c r="V7" s="129" t="s">
        <v>107</v>
      </c>
    </row>
    <row r="8" spans="2:31" ht="24.95" customHeight="1" x14ac:dyDescent="0.2">
      <c r="B8" s="115" t="s">
        <v>68</v>
      </c>
      <c r="C8" s="357"/>
      <c r="D8" s="120">
        <v>105</v>
      </c>
      <c r="E8" s="99">
        <v>0.28000000000000003</v>
      </c>
      <c r="F8" s="109">
        <f>E8*D8</f>
        <v>29.400000000000002</v>
      </c>
      <c r="H8" s="236" t="s">
        <v>81</v>
      </c>
      <c r="I8" s="237">
        <v>0.29199999999999998</v>
      </c>
      <c r="J8" s="238">
        <v>545</v>
      </c>
      <c r="K8" s="239">
        <f t="shared" si="0"/>
        <v>5.3577981651376145E-4</v>
      </c>
      <c r="M8" s="267" t="s">
        <v>111</v>
      </c>
      <c r="N8" s="223">
        <v>25</v>
      </c>
      <c r="R8" s="159" t="s">
        <v>1</v>
      </c>
      <c r="S8" s="160"/>
      <c r="T8" s="161">
        <f t="shared" ref="T8:U10" si="1">D7</f>
        <v>453.5</v>
      </c>
      <c r="U8" s="162">
        <f t="shared" si="1"/>
        <v>0.46660000000000001</v>
      </c>
      <c r="V8" s="163">
        <f>T8*U8</f>
        <v>211.60310000000001</v>
      </c>
    </row>
    <row r="9" spans="2:31" ht="24.95" customHeight="1" thickBot="1" x14ac:dyDescent="0.25">
      <c r="B9" s="115" t="s">
        <v>69</v>
      </c>
      <c r="C9" s="357"/>
      <c r="D9" s="121">
        <v>80</v>
      </c>
      <c r="E9" s="99">
        <v>0.94</v>
      </c>
      <c r="F9" s="109">
        <f>E9*D9</f>
        <v>75.199999999999989</v>
      </c>
      <c r="H9" s="236" t="s">
        <v>82</v>
      </c>
      <c r="I9" s="237">
        <v>0.35599999999999998</v>
      </c>
      <c r="J9" s="238">
        <f>Masse_Max_Décollage_01</f>
        <v>680</v>
      </c>
      <c r="K9" s="239">
        <f t="shared" si="0"/>
        <v>5.2352941176470589E-4</v>
      </c>
      <c r="M9" s="267" t="s">
        <v>110</v>
      </c>
      <c r="N9" s="224">
        <v>25</v>
      </c>
      <c r="P9" s="70" t="s">
        <v>94</v>
      </c>
      <c r="R9" s="159" t="s">
        <v>4</v>
      </c>
      <c r="S9" s="160"/>
      <c r="T9" s="161">
        <f t="shared" si="1"/>
        <v>105</v>
      </c>
      <c r="U9" s="162">
        <f t="shared" si="1"/>
        <v>0.28000000000000003</v>
      </c>
      <c r="V9" s="163">
        <f>T9*U9</f>
        <v>29.400000000000002</v>
      </c>
    </row>
    <row r="10" spans="2:31" ht="24.95" customHeight="1" thickBot="1" x14ac:dyDescent="0.25">
      <c r="B10" s="115" t="s">
        <v>112</v>
      </c>
      <c r="C10" s="366"/>
      <c r="D10" s="122"/>
      <c r="E10" s="99">
        <v>1.45</v>
      </c>
      <c r="F10" s="109">
        <f>E10*D10</f>
        <v>0</v>
      </c>
      <c r="H10" s="236" t="s">
        <v>83</v>
      </c>
      <c r="I10" s="237">
        <v>0.53300000000000003</v>
      </c>
      <c r="J10" s="238">
        <f>Masse_Max_Décollage_01</f>
        <v>680</v>
      </c>
      <c r="K10" s="239">
        <f t="shared" si="0"/>
        <v>7.8382352941176476E-4</v>
      </c>
      <c r="M10" s="254" t="s">
        <v>51</v>
      </c>
      <c r="N10" s="269">
        <f>N7</f>
        <v>50</v>
      </c>
      <c r="P10" s="67" t="s">
        <v>24</v>
      </c>
      <c r="Q10" s="73">
        <f>Consommation_minute_01</f>
        <v>0.33333333333333331</v>
      </c>
      <c r="R10" s="159" t="s">
        <v>5</v>
      </c>
      <c r="S10" s="160"/>
      <c r="T10" s="161">
        <f t="shared" si="1"/>
        <v>80</v>
      </c>
      <c r="U10" s="162">
        <f t="shared" si="1"/>
        <v>0.94</v>
      </c>
      <c r="V10" s="163">
        <f>T10*U10</f>
        <v>75.199999999999989</v>
      </c>
    </row>
    <row r="11" spans="2:31" ht="24.95" customHeight="1" thickBot="1" x14ac:dyDescent="0.25">
      <c r="B11" s="115" t="s">
        <v>23</v>
      </c>
      <c r="C11" s="110">
        <f>N8+Carburant_Aile_Gauche_01</f>
        <v>50</v>
      </c>
      <c r="D11" s="100">
        <f>C11*Densité_Carburant_01</f>
        <v>36</v>
      </c>
      <c r="E11" s="101">
        <v>0.61</v>
      </c>
      <c r="F11" s="109">
        <f>E11*D11</f>
        <v>21.96</v>
      </c>
      <c r="H11" s="243" t="s">
        <v>84</v>
      </c>
      <c r="I11" s="244">
        <v>0.53300000000000003</v>
      </c>
      <c r="J11" s="245">
        <f>Masse_à_vide_01</f>
        <v>453.5</v>
      </c>
      <c r="K11" s="246">
        <f t="shared" si="0"/>
        <v>1.175303197353914E-3</v>
      </c>
      <c r="M11" s="252" t="s">
        <v>46</v>
      </c>
      <c r="N11" s="253">
        <v>20</v>
      </c>
      <c r="P11" s="67" t="s">
        <v>25</v>
      </c>
      <c r="Q11" s="68">
        <f>IF(Carburant_Bloc_01&gt;Carburant_utilisable_01,Carburant_utilisable_01-(Carburant_Bloc_01-Carburant_utilisable_01),Carburant_utilisable_01)</f>
        <v>50</v>
      </c>
      <c r="R11" s="159" t="s">
        <v>80</v>
      </c>
      <c r="S11" s="160"/>
      <c r="T11" s="161">
        <f>Bagages_01</f>
        <v>0</v>
      </c>
      <c r="U11" s="162">
        <f>E10</f>
        <v>1.45</v>
      </c>
      <c r="V11" s="163">
        <f>T11*U11</f>
        <v>0</v>
      </c>
    </row>
    <row r="12" spans="2:31" ht="24.95" customHeight="1" thickBot="1" x14ac:dyDescent="0.25">
      <c r="B12" s="116" t="s">
        <v>70</v>
      </c>
      <c r="C12" s="801" t="s">
        <v>71</v>
      </c>
      <c r="D12" s="802"/>
      <c r="E12" s="802"/>
      <c r="F12" s="803"/>
      <c r="H12" s="247" t="s">
        <v>108</v>
      </c>
      <c r="I12" s="233">
        <f>F13</f>
        <v>338.16309999999999</v>
      </c>
      <c r="J12" s="234">
        <f>D13</f>
        <v>674.5</v>
      </c>
      <c r="K12" s="235">
        <f t="shared" si="0"/>
        <v>0.50135374351371387</v>
      </c>
      <c r="M12" s="255" t="s">
        <v>8</v>
      </c>
      <c r="N12" s="256">
        <f>N11/60</f>
        <v>0.33333333333333331</v>
      </c>
      <c r="P12" s="67" t="s">
        <v>26</v>
      </c>
      <c r="Q12" s="75">
        <f>Q11/Q10</f>
        <v>150</v>
      </c>
      <c r="R12" s="175" t="str">
        <f>B11</f>
        <v>Carburant principal :</v>
      </c>
      <c r="S12" s="612">
        <f>IF(Carburant_Bloc_01&gt;(Carburant_Aile_Droite_01+Carburant_Aile_Gauche_01),0,(Carburant_Aile_Droite_01+Carburant_Aile_Gauche_01)-Carburant_Bloc_01)</f>
        <v>13.333333333333336</v>
      </c>
      <c r="T12" s="176">
        <f>S12*Densité_Carburant_01</f>
        <v>9.6000000000000014</v>
      </c>
      <c r="U12" s="177">
        <f>E11</f>
        <v>0.61</v>
      </c>
      <c r="V12" s="178">
        <f>T12*U12</f>
        <v>5.8560000000000008</v>
      </c>
    </row>
    <row r="13" spans="2:31" ht="24.95" customHeight="1" thickBot="1" x14ac:dyDescent="0.25">
      <c r="B13" s="301" t="s">
        <v>12</v>
      </c>
      <c r="C13" s="309">
        <f>SUM(C11)</f>
        <v>50</v>
      </c>
      <c r="D13" s="310">
        <f>SUM(D7:D11)</f>
        <v>674.5</v>
      </c>
      <c r="E13" s="311">
        <f>Moment_Décollage_01/Masse_Décollage_01</f>
        <v>0.50135374351371387</v>
      </c>
      <c r="F13" s="312">
        <f>SUM(F7:F11)</f>
        <v>338.16309999999999</v>
      </c>
      <c r="H13" s="248" t="s">
        <v>109</v>
      </c>
      <c r="I13" s="240">
        <f>Moment_Atterrissage_01</f>
        <v>322.0591</v>
      </c>
      <c r="J13" s="241">
        <f>Masse_Atterrissage_01</f>
        <v>648.1</v>
      </c>
      <c r="K13" s="242">
        <f>Bras_Levier_Atterrissage_01</f>
        <v>0.49692809751581546</v>
      </c>
      <c r="M13" s="793" t="str">
        <f>IF(Capacité_carburant_Max_01&gt;130,"ERREUR capacité carburant !","Capacité carburant Ok !")</f>
        <v>Capacité carburant Ok !</v>
      </c>
      <c r="N13" s="794"/>
      <c r="P13" s="67" t="s">
        <v>27</v>
      </c>
      <c r="Q13" s="68">
        <f>ROUNDDOWN(Q12/60,0)</f>
        <v>2</v>
      </c>
      <c r="R13" s="313" t="s">
        <v>161</v>
      </c>
      <c r="S13" s="613">
        <f>SUM(S12)</f>
        <v>13.333333333333336</v>
      </c>
      <c r="T13" s="314">
        <f>SUM(T8:T12)</f>
        <v>648.1</v>
      </c>
      <c r="U13" s="315">
        <f>Moment_Atterrissage_01/Masse_Atterrissage_01</f>
        <v>0.49692809751581546</v>
      </c>
      <c r="V13" s="316">
        <f>SUM(V8:V12)</f>
        <v>322.0591</v>
      </c>
    </row>
    <row r="14" spans="2:31" ht="24.95" customHeight="1" thickBot="1" x14ac:dyDescent="0.25">
      <c r="B14" s="792" t="str">
        <f>IF(C13&gt;130,"* ATTENTION ! Le total carburant est supérieur à la capacité totale !","")</f>
        <v/>
      </c>
      <c r="C14" s="792"/>
      <c r="D14" s="792"/>
      <c r="E14" s="792"/>
      <c r="F14" s="792"/>
      <c r="H14" s="787" t="str">
        <f>IF(Nbre_Aérodromes_01&lt;=0,"* Minimum 1 aérodrome de destination","")</f>
        <v/>
      </c>
      <c r="I14" s="787"/>
      <c r="J14" s="787"/>
      <c r="K14" s="787"/>
      <c r="M14" s="795" t="str">
        <f>UPPER("Carburant Exploit. générale")</f>
        <v>CARBURANT EXPLOIT. GÉNÉRALE</v>
      </c>
      <c r="N14" s="796"/>
      <c r="O14" s="588"/>
      <c r="P14" s="14" t="s">
        <v>28</v>
      </c>
      <c r="Q14" s="592">
        <f>Q12-(Q13*60)</f>
        <v>30</v>
      </c>
      <c r="R14" s="14"/>
      <c r="S14" s="14"/>
      <c r="T14" s="14"/>
      <c r="U14" s="14"/>
      <c r="V14" s="14"/>
      <c r="W14" s="14"/>
      <c r="X14" s="14"/>
    </row>
    <row r="15" spans="2:31" ht="24.95" customHeight="1" thickBot="1" x14ac:dyDescent="0.25">
      <c r="B15" s="15"/>
      <c r="D15" s="799" t="str">
        <f>UPPER("Masse Totale :")</f>
        <v>MASSE TOTALE :</v>
      </c>
      <c r="E15" s="800"/>
      <c r="F15" s="317">
        <f>IF(Masse_Décollage_01&gt;Masse_Max_Décollage_01,"DANGER",Masse_Décollage_01)</f>
        <v>674.5</v>
      </c>
      <c r="H15" s="804" t="str">
        <f>UPPER("02-Données du vol")</f>
        <v>02-DONNÉES DU VOL</v>
      </c>
      <c r="I15" s="805"/>
      <c r="J15" s="806"/>
      <c r="K15" s="807"/>
      <c r="M15" s="797" t="str">
        <f>IF(Carburant_Bloc_01&gt;Carburant_utilisable_01,"DANGER - Total carburant insuffisant !","OK - Quantité de carburant suffisante")</f>
        <v>OK - Quantité de carburant suffisante</v>
      </c>
      <c r="N15" s="798"/>
      <c r="O15" s="585"/>
      <c r="P15" s="593"/>
      <c r="Q15" s="594"/>
      <c r="R15" s="10"/>
      <c r="S15" s="10"/>
      <c r="T15" s="10"/>
      <c r="U15" s="10"/>
      <c r="V15" s="10"/>
      <c r="W15" s="10"/>
      <c r="X15" s="10"/>
      <c r="Y15" s="10"/>
      <c r="Z15" s="10"/>
      <c r="AA15" s="10"/>
      <c r="AB15" s="10"/>
      <c r="AC15" s="10"/>
    </row>
    <row r="16" spans="2:31" ht="24.95" customHeight="1" thickTop="1" thickBot="1" x14ac:dyDescent="0.25">
      <c r="B16" s="3"/>
      <c r="D16" s="788" t="str">
        <f>UPPER("Bras de levier :")</f>
        <v>BRAS DE LEVIER :</v>
      </c>
      <c r="E16" s="789"/>
      <c r="F16" s="320">
        <f>Bras_Levier_Décollage_01</f>
        <v>0.50135374351371387</v>
      </c>
      <c r="H16" s="815" t="s">
        <v>147</v>
      </c>
      <c r="I16" s="816"/>
      <c r="J16" s="813" t="str">
        <f>IF(Durée_Totale_Vol_01&gt;Q20,"Erreur !",TEXT(Q13,"#0")&amp;" h et "&amp;TEXT(Q14,"#0")&amp;" mn")</f>
        <v>2 h et 30 mn</v>
      </c>
      <c r="K16" s="814"/>
      <c r="M16" s="258" t="s">
        <v>102</v>
      </c>
      <c r="N16" s="605">
        <f>Durée_Totale_Vol_01*Consommation_minute_01</f>
        <v>20</v>
      </c>
      <c r="O16" s="586"/>
      <c r="P16" s="14"/>
      <c r="Q16" s="18"/>
      <c r="R16" s="10"/>
      <c r="S16" s="10"/>
      <c r="T16" s="10"/>
      <c r="U16" s="10"/>
      <c r="V16" s="10"/>
      <c r="W16" s="10"/>
      <c r="X16" s="10"/>
      <c r="Y16" s="10"/>
      <c r="Z16" s="10"/>
      <c r="AA16" s="10"/>
      <c r="AB16" s="10"/>
      <c r="AC16" s="10"/>
    </row>
    <row r="17" spans="2:29" ht="24.95" customHeight="1" thickBot="1" x14ac:dyDescent="0.25">
      <c r="B17" s="792" t="str">
        <f>IF(Masse_Décollage_01&gt;Masse_Max_Décollage_01,"* ATTENTION ! La masse max au décollage est dépassée !","")</f>
        <v/>
      </c>
      <c r="C17" s="792"/>
      <c r="D17" s="792"/>
      <c r="E17" s="792"/>
      <c r="F17" s="792"/>
      <c r="H17" s="790" t="s">
        <v>21</v>
      </c>
      <c r="I17" s="791"/>
      <c r="J17" s="791"/>
      <c r="K17" s="341">
        <v>60</v>
      </c>
      <c r="M17" s="252" t="s">
        <v>103</v>
      </c>
      <c r="N17" s="606">
        <f>Nbre_Aérodromes_01*(Consommation_minute_01*10)</f>
        <v>3.333333333333333</v>
      </c>
      <c r="O17" s="586"/>
      <c r="P17" s="595" t="s">
        <v>141</v>
      </c>
      <c r="Q17" s="18"/>
      <c r="R17" s="10"/>
      <c r="S17" s="10"/>
      <c r="T17" s="581"/>
      <c r="U17" s="580" t="s">
        <v>236</v>
      </c>
      <c r="V17" s="580" t="s">
        <v>33</v>
      </c>
      <c r="W17" s="580" t="s">
        <v>241</v>
      </c>
      <c r="X17" s="580" t="s">
        <v>234</v>
      </c>
      <c r="Y17" s="580" t="s">
        <v>233</v>
      </c>
      <c r="Z17" s="580" t="s">
        <v>235</v>
      </c>
      <c r="AA17" s="580" t="s">
        <v>237</v>
      </c>
      <c r="AB17" s="580" t="s">
        <v>240</v>
      </c>
      <c r="AC17" s="10"/>
    </row>
    <row r="18" spans="2:29" ht="24.95" customHeight="1" thickBot="1" x14ac:dyDescent="0.25">
      <c r="B18" s="810" t="s">
        <v>30</v>
      </c>
      <c r="C18" s="811"/>
      <c r="D18" s="811"/>
      <c r="E18" s="811"/>
      <c r="F18" s="812"/>
      <c r="H18" s="808" t="s">
        <v>22</v>
      </c>
      <c r="I18" s="809"/>
      <c r="J18" s="809"/>
      <c r="K18" s="249">
        <v>1</v>
      </c>
      <c r="M18" s="259" t="s">
        <v>143</v>
      </c>
      <c r="N18" s="607">
        <f>SUM(N16:N17)</f>
        <v>23.333333333333332</v>
      </c>
      <c r="O18" s="586"/>
      <c r="P18" s="14" t="s">
        <v>122</v>
      </c>
      <c r="Q18" s="589">
        <f>Carburant_Bloc_01/Durée_Totale_Vol_01</f>
        <v>0.61111111111111105</v>
      </c>
      <c r="R18" s="10"/>
      <c r="S18" s="10"/>
      <c r="T18" s="581" t="s">
        <v>242</v>
      </c>
      <c r="U18" s="582">
        <v>65</v>
      </c>
      <c r="V18" s="579">
        <f>Carburant_Aile_Droite_01</f>
        <v>25</v>
      </c>
      <c r="W18" s="599">
        <f>V18/3.78541</f>
        <v>6.604304421449724</v>
      </c>
      <c r="X18" s="583">
        <f>1-Y18</f>
        <v>0.61538461538461542</v>
      </c>
      <c r="Y18" s="583">
        <f>V18/U18</f>
        <v>0.38461538461538464</v>
      </c>
      <c r="Z18" s="584">
        <v>0.2</v>
      </c>
      <c r="AA18" s="584">
        <v>0.2</v>
      </c>
      <c r="AB18" s="584">
        <v>0.2</v>
      </c>
      <c r="AC18" s="10"/>
    </row>
    <row r="19" spans="2:29" ht="24.95" customHeight="1" thickBot="1" x14ac:dyDescent="0.25">
      <c r="B19" s="821" t="s">
        <v>87</v>
      </c>
      <c r="C19" s="822"/>
      <c r="D19" s="127" t="s">
        <v>33</v>
      </c>
      <c r="E19" s="825" t="s">
        <v>34</v>
      </c>
      <c r="F19" s="826"/>
      <c r="H19" s="792" t="str">
        <f>IF(Bras_Levier_Décollage_01&gt;0.533,"* DANGER : Avion hors centrage arrière, INTERDICTION de décoller !","")</f>
        <v/>
      </c>
      <c r="I19" s="792"/>
      <c r="J19" s="792"/>
      <c r="K19" s="792"/>
      <c r="M19" s="270" t="s">
        <v>43</v>
      </c>
      <c r="N19" s="271" t="s">
        <v>14</v>
      </c>
      <c r="O19" s="586"/>
      <c r="P19" s="14" t="s">
        <v>25</v>
      </c>
      <c r="Q19" s="18">
        <f>Q11</f>
        <v>50</v>
      </c>
      <c r="R19" s="10"/>
      <c r="S19" s="10"/>
      <c r="T19" s="581"/>
      <c r="U19" s="580" t="s">
        <v>236</v>
      </c>
      <c r="V19" s="580" t="s">
        <v>33</v>
      </c>
      <c r="W19" s="599"/>
      <c r="X19" s="580" t="s">
        <v>234</v>
      </c>
      <c r="Y19" s="580" t="s">
        <v>233</v>
      </c>
      <c r="Z19" s="580" t="s">
        <v>235</v>
      </c>
      <c r="AA19" s="580" t="s">
        <v>237</v>
      </c>
      <c r="AB19" s="580" t="s">
        <v>240</v>
      </c>
      <c r="AC19" s="10"/>
    </row>
    <row r="20" spans="2:29" ht="24.95" customHeight="1" x14ac:dyDescent="0.2">
      <c r="B20" s="264" t="s">
        <v>31</v>
      </c>
      <c r="C20" s="265">
        <v>680</v>
      </c>
      <c r="D20" s="265">
        <f>Masse_Décollage_01</f>
        <v>674.5</v>
      </c>
      <c r="E20" s="827" t="str">
        <f>IF(D20&lt;=C20,"Ok !","DANGER !")</f>
        <v>Ok !</v>
      </c>
      <c r="F20" s="828"/>
      <c r="L20" s="3"/>
      <c r="M20" s="252" t="s">
        <v>144</v>
      </c>
      <c r="N20" s="608">
        <f>IF(Durée_Totale_Vol_01&gt;0,IF(N19="Jour",Consommation_minute_01*30,Consommation_minute_01*45),0)</f>
        <v>10</v>
      </c>
      <c r="O20" s="586"/>
      <c r="P20" s="14" t="s">
        <v>26</v>
      </c>
      <c r="Q20" s="592">
        <f>Q19/Q18</f>
        <v>81.818181818181827</v>
      </c>
      <c r="R20" s="10"/>
      <c r="S20" s="10"/>
      <c r="T20" s="581" t="s">
        <v>243</v>
      </c>
      <c r="U20" s="582">
        <v>65</v>
      </c>
      <c r="V20" s="579">
        <f>Carburant_Aile_Gauche_01</f>
        <v>25</v>
      </c>
      <c r="W20" s="599">
        <f>V20/3.78541</f>
        <v>6.604304421449724</v>
      </c>
      <c r="X20" s="583">
        <f>1-Y20</f>
        <v>0.61538461538461542</v>
      </c>
      <c r="Y20" s="583">
        <f>V20/U20</f>
        <v>0.38461538461538464</v>
      </c>
      <c r="Z20" s="584">
        <v>0.2</v>
      </c>
      <c r="AA20" s="584">
        <v>0.2</v>
      </c>
      <c r="AB20" s="584">
        <v>0.2</v>
      </c>
      <c r="AC20" s="10"/>
    </row>
    <row r="21" spans="2:29" ht="24.95" customHeight="1" thickBot="1" x14ac:dyDescent="0.25">
      <c r="B21" s="262" t="s">
        <v>32</v>
      </c>
      <c r="C21" s="266">
        <v>680</v>
      </c>
      <c r="D21" s="266">
        <f>Masse_Atterrissage_01</f>
        <v>648.1</v>
      </c>
      <c r="E21" s="817" t="str">
        <f>IF(D21&lt;=C21,"Ok !","DANGER !")</f>
        <v>Ok !</v>
      </c>
      <c r="F21" s="818"/>
      <c r="M21" s="819" t="str">
        <f>IF(N19="Jour","** Réserve finale de carburant de 30 mn","** Réserve finale de carburant de 45 mn")</f>
        <v>** Réserve finale de carburant de 30 mn</v>
      </c>
      <c r="N21" s="820"/>
      <c r="O21" s="586"/>
      <c r="P21" s="14" t="s">
        <v>27</v>
      </c>
      <c r="Q21" s="592">
        <f>ROUNDDOWN(Q20/60,0)</f>
        <v>1</v>
      </c>
      <c r="R21" s="10"/>
      <c r="S21" s="10"/>
      <c r="T21" s="581"/>
      <c r="U21" s="579">
        <f>Capacité_carburant_Max_01-Carburant_utilisable_01</f>
        <v>0</v>
      </c>
      <c r="V21" s="599">
        <f>U21/3.78541</f>
        <v>0</v>
      </c>
      <c r="W21" s="597"/>
      <c r="X21" s="49"/>
      <c r="Y21" s="49"/>
      <c r="Z21" s="49"/>
      <c r="AA21" s="49"/>
      <c r="AB21" s="49"/>
      <c r="AC21" s="10"/>
    </row>
    <row r="22" spans="2:29" ht="24.95" customHeight="1" x14ac:dyDescent="0.2">
      <c r="B22" s="10" t="s">
        <v>74</v>
      </c>
      <c r="C22" s="13"/>
      <c r="D22" s="29">
        <f>C20-D20</f>
        <v>5.5</v>
      </c>
      <c r="M22" s="252" t="s">
        <v>145</v>
      </c>
      <c r="N22" s="609">
        <f>(Consommation_horaire_01/60)*10</f>
        <v>3.333333333333333</v>
      </c>
      <c r="O22" s="588"/>
      <c r="P22" s="14" t="s">
        <v>28</v>
      </c>
      <c r="Q22" s="592">
        <f>Q20-(Q21*60)</f>
        <v>21.818181818181827</v>
      </c>
      <c r="R22" s="10"/>
      <c r="S22" s="10"/>
      <c r="T22" s="10"/>
      <c r="U22" s="10"/>
      <c r="V22" s="10"/>
      <c r="W22" s="10"/>
      <c r="X22" s="10"/>
      <c r="Y22" s="10"/>
      <c r="Z22" s="10"/>
      <c r="AA22" s="10"/>
      <c r="AB22" s="10"/>
      <c r="AC22" s="10"/>
    </row>
    <row r="23" spans="2:29" ht="24.95" customHeight="1" thickBot="1" x14ac:dyDescent="0.25">
      <c r="M23" s="260" t="s">
        <v>254</v>
      </c>
      <c r="N23" s="261">
        <f>((Délestage_01+Carburant_Roulage_01)-Carburant_Destination_01)/Carburant_Destination_01</f>
        <v>0.3333333333333332</v>
      </c>
      <c r="O23" s="586"/>
      <c r="P23" s="14"/>
      <c r="Q23" s="18"/>
      <c r="R23" s="10"/>
      <c r="S23" s="10"/>
      <c r="T23" s="10"/>
      <c r="U23" s="10"/>
      <c r="V23" s="10"/>
      <c r="W23" s="10"/>
      <c r="X23" s="10"/>
      <c r="Y23" s="10"/>
      <c r="Z23" s="10"/>
      <c r="AA23" s="10"/>
      <c r="AB23" s="10"/>
      <c r="AC23" s="10"/>
    </row>
    <row r="24" spans="2:29" ht="24.95" customHeight="1" thickBot="1" x14ac:dyDescent="0.25">
      <c r="M24" s="436" t="str">
        <f>UPPER("Carburant au bloc :")</f>
        <v>CARBURANT AU BLOC :</v>
      </c>
      <c r="N24" s="610">
        <f>Délestage_01+Réserve_Finale_01+Carburant_Roulage_01</f>
        <v>36.666666666666664</v>
      </c>
      <c r="O24" s="590"/>
      <c r="P24" s="595" t="s">
        <v>93</v>
      </c>
      <c r="Q24" s="14"/>
      <c r="R24" s="10"/>
      <c r="S24" s="10"/>
      <c r="T24" s="10"/>
      <c r="U24" s="10"/>
      <c r="V24" s="10"/>
      <c r="W24" s="10"/>
      <c r="X24" s="10"/>
      <c r="Y24" s="10"/>
      <c r="Z24" s="10"/>
    </row>
    <row r="25" spans="2:29" ht="24.95" customHeight="1" x14ac:dyDescent="0.2">
      <c r="M25" s="258" t="s">
        <v>139</v>
      </c>
      <c r="N25" s="605">
        <f>((Carburant_Bloc_01)/Durée_Totale_Vol_01)*60</f>
        <v>36.666666666666664</v>
      </c>
      <c r="O25" s="14"/>
      <c r="P25" s="14" t="s">
        <v>89</v>
      </c>
      <c r="Q25" s="591">
        <f>Masse_Décollage_01</f>
        <v>674.5</v>
      </c>
      <c r="R25" s="14"/>
      <c r="S25" s="14"/>
      <c r="T25" s="14"/>
      <c r="U25" s="14"/>
      <c r="V25" s="14"/>
      <c r="W25" s="14"/>
      <c r="X25" s="14"/>
    </row>
    <row r="26" spans="2:29" ht="24.95" customHeight="1" x14ac:dyDescent="0.2">
      <c r="M26" s="133" t="s">
        <v>148</v>
      </c>
      <c r="N26" s="609">
        <f>(Carburant_Aile_Droite_01+Carburant_Aile_Gauche_01)-Carburant_Bloc_01</f>
        <v>13.333333333333336</v>
      </c>
      <c r="O26" s="59"/>
      <c r="P26" s="34" t="s">
        <v>90</v>
      </c>
      <c r="Q26" s="577">
        <f>J13</f>
        <v>648.1</v>
      </c>
    </row>
    <row r="27" spans="2:29" ht="24.95" customHeight="1" thickBot="1" x14ac:dyDescent="0.25">
      <c r="L27" s="12"/>
      <c r="M27" s="262" t="s">
        <v>263</v>
      </c>
      <c r="N27" s="611">
        <f>(Carburant_utilisable_01)-Carburant_Bloc_01</f>
        <v>13.333333333333336</v>
      </c>
      <c r="O27" s="59"/>
      <c r="P27" s="34"/>
      <c r="Q27" s="35"/>
    </row>
    <row r="28" spans="2:29" ht="24.95" customHeight="1" x14ac:dyDescent="0.2">
      <c r="O28" s="59"/>
      <c r="P28" s="34"/>
      <c r="Q28" s="35"/>
    </row>
    <row r="29" spans="2:29" ht="24.95" customHeight="1" x14ac:dyDescent="0.2">
      <c r="O29" s="59"/>
      <c r="P29" s="34"/>
      <c r="Q29" s="35"/>
    </row>
    <row r="30" spans="2:29" ht="24.95" customHeight="1" x14ac:dyDescent="0.2">
      <c r="O30" s="59"/>
      <c r="P30" s="34"/>
      <c r="Q30" s="35"/>
    </row>
    <row r="31" spans="2:29" ht="18" customHeight="1" x14ac:dyDescent="0.2">
      <c r="O31" s="59"/>
      <c r="P31" s="34"/>
      <c r="Q31" s="35"/>
    </row>
    <row r="32" spans="2:29" ht="18" customHeight="1" x14ac:dyDescent="0.2">
      <c r="O32" s="59"/>
      <c r="P32" s="34"/>
      <c r="Q32" s="35"/>
    </row>
    <row r="33" spans="3:17" x14ac:dyDescent="0.2">
      <c r="O33" s="59"/>
      <c r="P33" s="34"/>
      <c r="Q33" s="35"/>
    </row>
    <row r="34" spans="3:17" x14ac:dyDescent="0.2">
      <c r="O34" s="59"/>
      <c r="P34" s="34"/>
      <c r="Q34" s="35"/>
    </row>
    <row r="35" spans="3:17" x14ac:dyDescent="0.2">
      <c r="O35" s="59"/>
      <c r="P35" s="34"/>
      <c r="Q35" s="35"/>
    </row>
    <row r="36" spans="3:17" x14ac:dyDescent="0.2">
      <c r="O36" s="59"/>
      <c r="P36" s="34"/>
      <c r="Q36" s="35"/>
    </row>
    <row r="37" spans="3:17" x14ac:dyDescent="0.2">
      <c r="O37" s="59"/>
      <c r="P37" s="34"/>
      <c r="Q37" s="35"/>
    </row>
    <row r="38" spans="3:17" x14ac:dyDescent="0.2">
      <c r="O38" s="59"/>
      <c r="P38" s="34"/>
      <c r="Q38" s="35"/>
    </row>
    <row r="39" spans="3:17" x14ac:dyDescent="0.2">
      <c r="O39" s="59"/>
      <c r="P39" s="34"/>
      <c r="Q39" s="35"/>
    </row>
    <row r="46" spans="3:17" x14ac:dyDescent="0.2">
      <c r="M46" s="660"/>
      <c r="N46" s="660"/>
    </row>
    <row r="47" spans="3:17" s="34" customFormat="1" ht="19.5" thickBot="1" x14ac:dyDescent="0.25">
      <c r="C47" s="35"/>
      <c r="D47" s="35"/>
      <c r="E47" s="35"/>
      <c r="F47" s="35"/>
      <c r="M47" s="1"/>
      <c r="N47" s="24"/>
      <c r="O47" s="59"/>
      <c r="Q47" s="35"/>
    </row>
    <row r="48" spans="3:17" s="34" customFormat="1" x14ac:dyDescent="0.2">
      <c r="C48" s="35"/>
      <c r="D48" s="35"/>
      <c r="E48" s="35"/>
      <c r="F48" s="35"/>
      <c r="M48" s="823" t="s">
        <v>18</v>
      </c>
      <c r="N48" s="824"/>
      <c r="O48" s="59"/>
      <c r="Q48" s="35"/>
    </row>
    <row r="49" spans="1:17" s="34" customFormat="1" x14ac:dyDescent="0.2">
      <c r="C49" s="35"/>
      <c r="D49" s="35"/>
      <c r="E49" s="35"/>
      <c r="F49" s="35"/>
      <c r="M49" s="124"/>
      <c r="N49" s="125"/>
      <c r="O49" s="59"/>
      <c r="Q49" s="35"/>
    </row>
    <row r="50" spans="1:17" s="34" customFormat="1" x14ac:dyDescent="0.2">
      <c r="C50" s="35"/>
      <c r="D50" s="35"/>
      <c r="E50" s="35"/>
      <c r="F50" s="35"/>
      <c r="M50" s="124"/>
      <c r="N50" s="125"/>
      <c r="O50" s="59"/>
      <c r="Q50" s="35"/>
    </row>
    <row r="51" spans="1:17" s="34" customFormat="1" x14ac:dyDescent="0.2">
      <c r="C51" s="35"/>
      <c r="D51" s="35"/>
      <c r="E51" s="35"/>
      <c r="F51" s="35"/>
      <c r="M51" s="124"/>
      <c r="N51" s="125"/>
      <c r="O51" s="59"/>
      <c r="Q51" s="35"/>
    </row>
    <row r="52" spans="1:17" s="34" customFormat="1" x14ac:dyDescent="0.2">
      <c r="C52" s="35"/>
      <c r="D52" s="35"/>
      <c r="E52" s="35"/>
      <c r="F52" s="35"/>
      <c r="M52" s="656"/>
      <c r="N52" s="657"/>
      <c r="O52" s="59"/>
      <c r="Q52" s="35"/>
    </row>
    <row r="53" spans="1:17" s="34" customFormat="1" x14ac:dyDescent="0.2">
      <c r="C53" s="35"/>
      <c r="D53" s="35"/>
      <c r="E53" s="35"/>
      <c r="F53" s="35"/>
      <c r="M53" s="656"/>
      <c r="N53" s="657"/>
      <c r="O53" s="59"/>
      <c r="Q53" s="35"/>
    </row>
    <row r="54" spans="1:17" s="34" customFormat="1" x14ac:dyDescent="0.2">
      <c r="C54" s="35"/>
      <c r="D54" s="35"/>
      <c r="E54" s="35"/>
      <c r="F54" s="35"/>
      <c r="M54" s="656"/>
      <c r="N54" s="657"/>
      <c r="O54" s="59"/>
      <c r="Q54" s="35"/>
    </row>
    <row r="55" spans="1:17" s="34" customFormat="1" ht="19.5" thickBot="1" x14ac:dyDescent="0.25">
      <c r="A55" s="683"/>
      <c r="B55" s="683"/>
      <c r="C55" s="684"/>
      <c r="D55" s="684"/>
      <c r="E55" s="684"/>
      <c r="F55" s="684"/>
      <c r="G55" s="683"/>
      <c r="H55" s="683"/>
      <c r="I55" s="683"/>
      <c r="J55" s="683"/>
      <c r="K55" s="683"/>
      <c r="L55" s="685"/>
      <c r="M55" s="658"/>
      <c r="N55" s="659"/>
      <c r="O55" s="59"/>
      <c r="Q55" s="35"/>
    </row>
    <row r="56" spans="1:17" s="34" customFormat="1" x14ac:dyDescent="0.2">
      <c r="C56" s="35"/>
      <c r="D56" s="35"/>
      <c r="E56" s="35"/>
      <c r="F56" s="35"/>
      <c r="N56" s="35"/>
      <c r="O56" s="59"/>
      <c r="Q56" s="35"/>
    </row>
    <row r="57" spans="1:17" s="34" customFormat="1" x14ac:dyDescent="0.2">
      <c r="C57" s="35"/>
      <c r="D57" s="35"/>
      <c r="E57" s="35"/>
      <c r="F57" s="35"/>
      <c r="N57" s="35"/>
      <c r="O57" s="59"/>
      <c r="Q57" s="35"/>
    </row>
    <row r="58" spans="1:17" s="34" customFormat="1" x14ac:dyDescent="0.2">
      <c r="C58" s="35"/>
      <c r="D58" s="35"/>
      <c r="E58" s="35"/>
      <c r="F58" s="35"/>
      <c r="N58" s="35"/>
      <c r="O58" s="59"/>
      <c r="Q58" s="35"/>
    </row>
    <row r="59" spans="1:17" s="34" customFormat="1" x14ac:dyDescent="0.2">
      <c r="C59" s="35"/>
      <c r="D59" s="35"/>
      <c r="E59" s="35"/>
      <c r="F59" s="35"/>
      <c r="N59" s="35"/>
      <c r="O59" s="59"/>
      <c r="Q59" s="35"/>
    </row>
    <row r="60" spans="1:17" s="34" customFormat="1" x14ac:dyDescent="0.2">
      <c r="C60" s="35"/>
      <c r="D60" s="35"/>
      <c r="E60" s="35"/>
      <c r="F60" s="35"/>
      <c r="N60" s="35"/>
      <c r="O60" s="59"/>
      <c r="Q60" s="35"/>
    </row>
    <row r="61" spans="1:17" s="34" customFormat="1" x14ac:dyDescent="0.2">
      <c r="C61" s="35"/>
      <c r="D61" s="35"/>
      <c r="E61" s="35"/>
      <c r="F61" s="35"/>
      <c r="N61" s="35"/>
      <c r="O61" s="59"/>
      <c r="Q61" s="35"/>
    </row>
    <row r="62" spans="1:17" s="34" customFormat="1" x14ac:dyDescent="0.2">
      <c r="C62" s="35"/>
      <c r="D62" s="35"/>
      <c r="E62" s="35"/>
      <c r="F62" s="35"/>
      <c r="N62" s="35"/>
      <c r="O62" s="59"/>
      <c r="Q62" s="35"/>
    </row>
    <row r="63" spans="1:17" s="34" customFormat="1" x14ac:dyDescent="0.2">
      <c r="C63" s="35"/>
      <c r="D63" s="35"/>
      <c r="E63" s="35"/>
      <c r="F63" s="35"/>
      <c r="N63" s="35"/>
      <c r="O63" s="59"/>
      <c r="Q63" s="35"/>
    </row>
    <row r="64" spans="1:17" s="34" customFormat="1" x14ac:dyDescent="0.2">
      <c r="C64" s="35"/>
      <c r="D64" s="35"/>
      <c r="E64" s="35"/>
      <c r="F64" s="35"/>
      <c r="N64" s="35"/>
      <c r="O64" s="59"/>
      <c r="Q64" s="35"/>
    </row>
    <row r="65" spans="3:17" s="34" customFormat="1" x14ac:dyDescent="0.2">
      <c r="C65" s="35"/>
      <c r="D65" s="35"/>
      <c r="E65" s="35"/>
      <c r="F65" s="35"/>
      <c r="N65" s="35"/>
      <c r="O65" s="59"/>
      <c r="Q65" s="35"/>
    </row>
    <row r="66" spans="3:17" s="34" customFormat="1" x14ac:dyDescent="0.2">
      <c r="C66" s="35"/>
      <c r="D66" s="35"/>
      <c r="E66" s="35"/>
      <c r="F66" s="35"/>
      <c r="N66" s="35"/>
      <c r="O66" s="59"/>
      <c r="Q66" s="35"/>
    </row>
  </sheetData>
  <sheetProtection algorithmName="SHA-512" hashValue="pzSMGBXYg/++nQPwFmOa6zPbX4B0RmL8Zi5cM6tlPUsIGnnz1rLbhzI0UPyT5hz1FJftcm2D0KBRJRcOKKlXiw==" saltValue="vLGCEGcg5FmdmJKtAKJmSg==" spinCount="100000" sheet="1" objects="1" scenarios="1" selectLockedCells="1"/>
  <mergeCells count="38">
    <mergeCell ref="C5:F5"/>
    <mergeCell ref="H5:K5"/>
    <mergeCell ref="M5:N5"/>
    <mergeCell ref="B1:N1"/>
    <mergeCell ref="B2:C2"/>
    <mergeCell ref="D2:E2"/>
    <mergeCell ref="G2:H2"/>
    <mergeCell ref="I2:J2"/>
    <mergeCell ref="M2:N2"/>
    <mergeCell ref="B3:C3"/>
    <mergeCell ref="D3:F3"/>
    <mergeCell ref="I3:J3"/>
    <mergeCell ref="M3:N3"/>
    <mergeCell ref="M4:N4"/>
    <mergeCell ref="M21:N21"/>
    <mergeCell ref="B19:C19"/>
    <mergeCell ref="M48:N48"/>
    <mergeCell ref="E19:F19"/>
    <mergeCell ref="E20:F20"/>
    <mergeCell ref="H19:K19"/>
    <mergeCell ref="H18:J18"/>
    <mergeCell ref="B18:F18"/>
    <mergeCell ref="J16:K16"/>
    <mergeCell ref="H16:I16"/>
    <mergeCell ref="E21:F21"/>
    <mergeCell ref="R7:S7"/>
    <mergeCell ref="H14:K14"/>
    <mergeCell ref="D16:E16"/>
    <mergeCell ref="H17:J17"/>
    <mergeCell ref="B17:F17"/>
    <mergeCell ref="M13:N13"/>
    <mergeCell ref="M14:N14"/>
    <mergeCell ref="M15:N15"/>
    <mergeCell ref="B14:F14"/>
    <mergeCell ref="D15:E15"/>
    <mergeCell ref="C12:F12"/>
    <mergeCell ref="H15:I15"/>
    <mergeCell ref="J15:K15"/>
  </mergeCells>
  <phoneticPr fontId="21" type="noConversion"/>
  <conditionalFormatting sqref="B14:F14">
    <cfRule type="cellIs" dxfId="273" priority="37" operator="equal">
      <formula>"* ATTENTION ! Le total carburant est supérieur à la capacité totale !"</formula>
    </cfRule>
  </conditionalFormatting>
  <conditionalFormatting sqref="B17:F17">
    <cfRule type="cellIs" dxfId="272" priority="36" operator="equal">
      <formula>"* ATTENTION ! La masse max au décollage est dépassée !"</formula>
    </cfRule>
  </conditionalFormatting>
  <conditionalFormatting sqref="C13">
    <cfRule type="cellIs" dxfId="271" priority="24" operator="greaterThan">
      <formula>130</formula>
    </cfRule>
  </conditionalFormatting>
  <conditionalFormatting sqref="D10">
    <cfRule type="cellIs" dxfId="270" priority="22" operator="greaterThan">
      <formula>22</formula>
    </cfRule>
  </conditionalFormatting>
  <conditionalFormatting sqref="D13">
    <cfRule type="cellIs" dxfId="269" priority="6" operator="greaterThan">
      <formula>$C$20</formula>
    </cfRule>
  </conditionalFormatting>
  <conditionalFormatting sqref="D20">
    <cfRule type="cellIs" dxfId="268" priority="27" operator="greaterThan">
      <formula>$C$20</formula>
    </cfRule>
  </conditionalFormatting>
  <conditionalFormatting sqref="D21">
    <cfRule type="cellIs" dxfId="267" priority="26" operator="greaterThan">
      <formula>$C$21</formula>
    </cfRule>
  </conditionalFormatting>
  <conditionalFormatting sqref="E20:E21">
    <cfRule type="cellIs" dxfId="266" priority="28" operator="equal">
      <formula>"DANGER !"</formula>
    </cfRule>
    <cfRule type="cellIs" dxfId="265" priority="29" operator="equal">
      <formula>"Ok !"</formula>
    </cfRule>
  </conditionalFormatting>
  <conditionalFormatting sqref="F13">
    <cfRule type="cellIs" dxfId="264" priority="23" operator="greaterThan">
      <formula>533</formula>
    </cfRule>
  </conditionalFormatting>
  <conditionalFormatting sqref="F15">
    <cfRule type="cellIs" dxfId="263" priority="43" operator="greaterThan">
      <formula>681</formula>
    </cfRule>
    <cfRule type="cellIs" dxfId="262" priority="46" operator="equal">
      <formula>"DANGER"</formula>
    </cfRule>
  </conditionalFormatting>
  <conditionalFormatting sqref="F16">
    <cfRule type="cellIs" dxfId="261" priority="42" operator="greaterThan">
      <formula>0.533</formula>
    </cfRule>
  </conditionalFormatting>
  <conditionalFormatting sqref="H19">
    <cfRule type="cellIs" dxfId="260" priority="35" operator="equal">
      <formula>"* DANGER : Avion hors centrage arrière, INTERDICTION de décoller !"</formula>
    </cfRule>
  </conditionalFormatting>
  <conditionalFormatting sqref="H14:K14">
    <cfRule type="cellIs" dxfId="259" priority="8" operator="equal">
      <formula>"* Minimum 1 aérodrome de destination"</formula>
    </cfRule>
  </conditionalFormatting>
  <conditionalFormatting sqref="J16">
    <cfRule type="cellIs" dxfId="258" priority="10" operator="equal">
      <formula>"Erreur !"</formula>
    </cfRule>
  </conditionalFormatting>
  <conditionalFormatting sqref="K18">
    <cfRule type="cellIs" dxfId="257" priority="9" operator="lessThanOrEqual">
      <formula>0</formula>
    </cfRule>
  </conditionalFormatting>
  <conditionalFormatting sqref="M15">
    <cfRule type="cellIs" dxfId="256" priority="44" operator="equal">
      <formula>"DANGER - Total carburant insuffisant !"</formula>
    </cfRule>
    <cfRule type="cellIs" dxfId="255" priority="47" operator="equal">
      <formula>"OK - Quantité de carburant suffisante"</formula>
    </cfRule>
  </conditionalFormatting>
  <conditionalFormatting sqref="M21">
    <cfRule type="cellIs" dxfId="254" priority="2" operator="equal">
      <formula>"** Réserve finale de carburant de 45 mn"</formula>
    </cfRule>
    <cfRule type="cellIs" dxfId="253" priority="3" operator="equal">
      <formula>"** Réserve finale de carburant de 30 mn"</formula>
    </cfRule>
  </conditionalFormatting>
  <conditionalFormatting sqref="M13:N13">
    <cfRule type="cellIs" dxfId="252" priority="30" operator="equal">
      <formula>"Capacité carburant Ok !"</formula>
    </cfRule>
    <cfRule type="cellIs" dxfId="251" priority="31" operator="equal">
      <formula>"ERREUR capacité carburant !"</formula>
    </cfRule>
  </conditionalFormatting>
  <conditionalFormatting sqref="N7">
    <cfRule type="cellIs" dxfId="250" priority="45" operator="greaterThan">
      <formula>130</formula>
    </cfRule>
  </conditionalFormatting>
  <conditionalFormatting sqref="N8:N9">
    <cfRule type="cellIs" dxfId="249" priority="20" operator="greaterThan">
      <formula>65</formula>
    </cfRule>
  </conditionalFormatting>
  <conditionalFormatting sqref="N10">
    <cfRule type="cellIs" dxfId="248" priority="34" operator="greaterThan">
      <formula>130</formula>
    </cfRule>
  </conditionalFormatting>
  <conditionalFormatting sqref="N26:N27">
    <cfRule type="cellIs" dxfId="247" priority="11" operator="lessThan">
      <formula>0</formula>
    </cfRule>
  </conditionalFormatting>
  <conditionalFormatting sqref="N27">
    <cfRule type="expression" dxfId="246" priority="16">
      <formula>$N$27&lt;$N$20</formula>
    </cfRule>
  </conditionalFormatting>
  <conditionalFormatting sqref="S12">
    <cfRule type="cellIs" dxfId="245" priority="1" operator="lessThan">
      <formula>0</formula>
    </cfRule>
  </conditionalFormatting>
  <dataValidations count="1">
    <dataValidation type="list" allowBlank="1" showInputMessage="1" showErrorMessage="1" sqref="N19" xr:uid="{123BA7DB-CE19-4267-B347-75E41DDF9C99}">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743D-0CF7-4737-B327-4139E114BFBA}">
  <sheetPr>
    <tabColor theme="9" tint="-0.499984740745262"/>
    <pageSetUpPr fitToPage="1"/>
  </sheetPr>
  <dimension ref="A1:AC61"/>
  <sheetViews>
    <sheetView showGridLines="0" tabSelected="1" topLeftCell="D1" zoomScale="85" zoomScaleNormal="85" workbookViewId="0">
      <pane ySplit="3" topLeftCell="A4" activePane="bottomLeft" state="frozenSplit"/>
      <selection activeCell="C3" sqref="C3:E3"/>
      <selection pane="bottomLeft" activeCell="N19" sqref="N19"/>
    </sheetView>
  </sheetViews>
  <sheetFormatPr baseColWidth="10" defaultRowHeight="18.75" x14ac:dyDescent="0.2"/>
  <cols>
    <col min="1" max="1" width="42.7109375" style="1" customWidth="1"/>
    <col min="2" max="2" width="31" style="1" bestFit="1" customWidth="1"/>
    <col min="3" max="6" width="15.7109375" style="24" customWidth="1"/>
    <col min="7" max="7" width="5.7109375" style="1" customWidth="1"/>
    <col min="8" max="8" width="47" style="1" bestFit="1" customWidth="1"/>
    <col min="9" max="11" width="15.7109375" style="1" customWidth="1"/>
    <col min="12" max="12" width="5.7109375" style="1" customWidth="1"/>
    <col min="13" max="13" width="52.140625" style="1" bestFit="1" customWidth="1"/>
    <col min="14" max="14" width="15.7109375" style="24" customWidth="1"/>
    <col min="15" max="15" width="5.7109375" style="78" customWidth="1"/>
    <col min="16" max="16" width="24.28515625" style="67" hidden="1" customWidth="1"/>
    <col min="17" max="17" width="16.42578125" style="68" hidden="1" customWidth="1"/>
    <col min="18" max="18" width="35.28515625" style="69" bestFit="1" customWidth="1"/>
    <col min="19" max="20" width="16.7109375" style="69" customWidth="1"/>
    <col min="21" max="21" width="18.5703125" style="69" bestFit="1" customWidth="1"/>
    <col min="22" max="22" width="23.7109375" style="69" customWidth="1"/>
    <col min="23" max="23" width="11.42578125" style="69"/>
    <col min="24" max="27" width="11.42578125" style="34"/>
    <col min="28"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9" s="7" customFormat="1" ht="50.1" customHeight="1" thickBot="1" x14ac:dyDescent="0.25">
      <c r="B1" s="779" t="s">
        <v>247</v>
      </c>
      <c r="C1" s="780"/>
      <c r="D1" s="780"/>
      <c r="E1" s="780"/>
      <c r="F1" s="780"/>
      <c r="G1" s="780"/>
      <c r="H1" s="780"/>
      <c r="I1" s="780"/>
      <c r="J1" s="780"/>
      <c r="K1" s="780"/>
      <c r="L1" s="780"/>
      <c r="M1" s="780"/>
      <c r="N1" s="781"/>
      <c r="O1" s="77"/>
      <c r="P1" s="64"/>
      <c r="Q1" s="65"/>
      <c r="R1" s="66"/>
      <c r="S1" s="66"/>
      <c r="T1" s="66"/>
      <c r="U1" s="66"/>
      <c r="V1" s="66"/>
      <c r="W1" s="66"/>
      <c r="X1" s="33"/>
      <c r="Y1" s="33"/>
      <c r="Z1" s="33"/>
      <c r="AA1" s="33"/>
    </row>
    <row r="2" spans="2:29" ht="24.95" customHeight="1" thickBot="1" x14ac:dyDescent="0.25">
      <c r="B2" s="862" t="s">
        <v>16</v>
      </c>
      <c r="C2" s="862"/>
      <c r="D2" s="863">
        <v>42179</v>
      </c>
      <c r="E2" s="864"/>
      <c r="G2" s="862" t="s">
        <v>35</v>
      </c>
      <c r="H2" s="862"/>
      <c r="I2" s="865">
        <f ca="1">NOW()</f>
        <v>45720.672637847223</v>
      </c>
      <c r="J2" s="865"/>
      <c r="K2" s="8"/>
      <c r="M2" s="866" t="s">
        <v>19</v>
      </c>
      <c r="N2" s="866"/>
    </row>
    <row r="3" spans="2:29" ht="24.95" customHeight="1" thickBot="1" x14ac:dyDescent="0.25">
      <c r="B3" s="867" t="s">
        <v>17</v>
      </c>
      <c r="C3" s="867"/>
      <c r="D3" s="841">
        <v>44981</v>
      </c>
      <c r="E3" s="842"/>
      <c r="F3" s="843"/>
      <c r="H3" s="686" t="s">
        <v>244</v>
      </c>
      <c r="I3" s="844">
        <v>0.47916666666666669</v>
      </c>
      <c r="J3" s="845"/>
      <c r="M3" s="846"/>
      <c r="N3" s="847"/>
    </row>
    <row r="4" spans="2:29" ht="24.95" customHeight="1" thickBot="1" x14ac:dyDescent="0.25">
      <c r="B4" s="23"/>
      <c r="C4" s="23"/>
      <c r="M4" s="848">
        <f>IF((Capacité_carburant_Max_02-Carburant_utilisable_02)&gt;0,Capacité_carburant_Max_02-Carburant_utilisable_02,"Tout le carburant est utilisable.")</f>
        <v>5</v>
      </c>
      <c r="N4" s="848"/>
      <c r="R4" s="45" t="s">
        <v>142</v>
      </c>
      <c r="S4" s="10"/>
      <c r="T4" s="46"/>
      <c r="U4" s="49"/>
    </row>
    <row r="5" spans="2:29" ht="24.95" customHeight="1" thickBot="1" x14ac:dyDescent="0.25">
      <c r="C5" s="874" t="s">
        <v>50</v>
      </c>
      <c r="D5" s="875"/>
      <c r="E5" s="875"/>
      <c r="F5" s="876"/>
      <c r="H5" s="881" t="str">
        <f>UPPER("02-Données du vol")</f>
        <v>02-DONNÉES DU VOL</v>
      </c>
      <c r="I5" s="882"/>
      <c r="J5" s="669"/>
      <c r="K5" s="670"/>
      <c r="L5" s="2"/>
      <c r="M5" s="874" t="s">
        <v>42</v>
      </c>
      <c r="N5" s="876"/>
      <c r="O5" s="81"/>
      <c r="P5" s="67" t="s">
        <v>14</v>
      </c>
      <c r="R5" s="46" t="s">
        <v>100</v>
      </c>
      <c r="S5" s="48">
        <f>C20</f>
        <v>758</v>
      </c>
      <c r="T5" s="10">
        <v>356</v>
      </c>
      <c r="U5" s="49"/>
    </row>
    <row r="6" spans="2:29" s="2" customFormat="1" ht="39" customHeight="1" thickTop="1" thickBot="1" x14ac:dyDescent="0.25">
      <c r="B6" s="4"/>
      <c r="C6" s="183" t="s">
        <v>0</v>
      </c>
      <c r="D6" s="184" t="s">
        <v>11</v>
      </c>
      <c r="E6" s="184" t="s">
        <v>10</v>
      </c>
      <c r="F6" s="185" t="s">
        <v>9</v>
      </c>
      <c r="H6" s="879" t="s">
        <v>147</v>
      </c>
      <c r="I6" s="880"/>
      <c r="J6" s="813" t="str">
        <f>IF(Durée_Totale_Vol_02&gt;Q20,"Erreur !",TEXT(Q13,"#0")&amp;" h et "&amp;TEXT(Q14,"#0")&amp;" mn")</f>
        <v>1 h et 51 mn</v>
      </c>
      <c r="K6" s="814"/>
      <c r="L6" s="1"/>
      <c r="M6" s="217" t="s">
        <v>118</v>
      </c>
      <c r="N6" s="218">
        <v>0.72</v>
      </c>
      <c r="O6" s="216"/>
      <c r="P6" s="71" t="s">
        <v>15</v>
      </c>
      <c r="Q6" s="72"/>
      <c r="R6" s="46" t="s">
        <v>101</v>
      </c>
      <c r="S6" s="48">
        <f>D7</f>
        <v>544</v>
      </c>
      <c r="T6" s="10">
        <v>356</v>
      </c>
      <c r="U6" s="11"/>
      <c r="W6" s="82"/>
      <c r="X6" s="36"/>
      <c r="Y6" s="36"/>
      <c r="Z6" s="36"/>
      <c r="AA6" s="36"/>
    </row>
    <row r="7" spans="2:29" ht="24.95" customHeight="1" thickBot="1" x14ac:dyDescent="0.25">
      <c r="B7" s="358" t="s">
        <v>1</v>
      </c>
      <c r="C7" s="362"/>
      <c r="D7" s="195">
        <v>544</v>
      </c>
      <c r="E7" s="186">
        <v>0.77900000000000003</v>
      </c>
      <c r="F7" s="187">
        <f>E7*D7</f>
        <v>423.77600000000001</v>
      </c>
      <c r="H7" s="868" t="s">
        <v>21</v>
      </c>
      <c r="I7" s="869"/>
      <c r="J7" s="869"/>
      <c r="K7" s="172">
        <v>60</v>
      </c>
      <c r="M7" s="212" t="s">
        <v>167</v>
      </c>
      <c r="N7" s="614">
        <f>Carburant_Aile_Droite_02+Carburant_Aile_Gauche_02</f>
        <v>57</v>
      </c>
      <c r="R7" s="849" t="str">
        <f>UPPER("Moment à l'atterrissage")</f>
        <v>MOMENT À L'ATTERRISSAGE</v>
      </c>
      <c r="S7" s="850"/>
      <c r="T7" s="131" t="s">
        <v>106</v>
      </c>
      <c r="U7" s="131" t="s">
        <v>105</v>
      </c>
      <c r="V7" s="132" t="s">
        <v>107</v>
      </c>
    </row>
    <row r="8" spans="2:29" ht="24.95" customHeight="1" thickBot="1" x14ac:dyDescent="0.25">
      <c r="B8" s="359" t="s">
        <v>4</v>
      </c>
      <c r="C8" s="363"/>
      <c r="D8" s="197">
        <v>77</v>
      </c>
      <c r="E8" s="194">
        <v>1</v>
      </c>
      <c r="F8" s="189">
        <f>E8*D8</f>
        <v>77</v>
      </c>
      <c r="H8" s="856" t="s">
        <v>22</v>
      </c>
      <c r="I8" s="857"/>
      <c r="J8" s="857"/>
      <c r="K8" s="171">
        <v>1</v>
      </c>
      <c r="M8" s="222" t="s">
        <v>168</v>
      </c>
      <c r="N8" s="223">
        <v>32</v>
      </c>
      <c r="R8" s="154" t="s">
        <v>1</v>
      </c>
      <c r="S8" s="155"/>
      <c r="T8" s="156">
        <f t="shared" ref="T8:U11" si="0">D7</f>
        <v>544</v>
      </c>
      <c r="U8" s="157">
        <f t="shared" si="0"/>
        <v>0.77900000000000003</v>
      </c>
      <c r="V8" s="158">
        <f>T8*U8</f>
        <v>423.77600000000001</v>
      </c>
    </row>
    <row r="9" spans="2:29" ht="24.95" customHeight="1" thickBot="1" x14ac:dyDescent="0.25">
      <c r="B9" s="359" t="s">
        <v>5</v>
      </c>
      <c r="C9" s="363"/>
      <c r="D9" s="198">
        <v>65</v>
      </c>
      <c r="E9" s="194">
        <v>1</v>
      </c>
      <c r="F9" s="189">
        <f>E9*D9</f>
        <v>65</v>
      </c>
      <c r="H9" s="787" t="str">
        <f>IF(Nbre_Aérodromes_02&lt;=0,"* Minimum 1 aérodrome de destination","")</f>
        <v/>
      </c>
      <c r="I9" s="787"/>
      <c r="J9" s="787"/>
      <c r="K9" s="787"/>
      <c r="M9" s="222" t="s">
        <v>169</v>
      </c>
      <c r="N9" s="224">
        <v>25</v>
      </c>
      <c r="P9" s="70" t="s">
        <v>94</v>
      </c>
      <c r="R9" s="159" t="s">
        <v>4</v>
      </c>
      <c r="S9" s="160"/>
      <c r="T9" s="161">
        <f t="shared" si="0"/>
        <v>77</v>
      </c>
      <c r="U9" s="162">
        <f t="shared" si="0"/>
        <v>1</v>
      </c>
      <c r="V9" s="163">
        <f>T9*U9</f>
        <v>77</v>
      </c>
    </row>
    <row r="10" spans="2:29" ht="24.95" customHeight="1" thickBot="1" x14ac:dyDescent="0.25">
      <c r="B10" s="359" t="s">
        <v>55</v>
      </c>
      <c r="C10" s="363"/>
      <c r="D10" s="199">
        <v>10</v>
      </c>
      <c r="E10" s="194">
        <v>1.63</v>
      </c>
      <c r="F10" s="189">
        <f>E10*D10</f>
        <v>16.299999999999997</v>
      </c>
      <c r="H10" s="832" t="str">
        <f>UPPER("Génération du graphique")</f>
        <v>GÉNÉRATION DU GRAPHIQUE</v>
      </c>
      <c r="I10" s="833"/>
      <c r="J10" s="833"/>
      <c r="K10" s="834"/>
      <c r="M10" s="212" t="s">
        <v>51</v>
      </c>
      <c r="N10" s="615">
        <f>N7-5</f>
        <v>52</v>
      </c>
      <c r="P10" s="67" t="s">
        <v>24</v>
      </c>
      <c r="Q10" s="73">
        <f>Consommation_minute_02</f>
        <v>0.46666666666666667</v>
      </c>
      <c r="R10" s="159" t="s">
        <v>5</v>
      </c>
      <c r="S10" s="160"/>
      <c r="T10" s="161">
        <f t="shared" si="0"/>
        <v>65</v>
      </c>
      <c r="U10" s="162">
        <f t="shared" si="0"/>
        <v>1</v>
      </c>
      <c r="V10" s="163">
        <f>T10*U10</f>
        <v>65</v>
      </c>
    </row>
    <row r="11" spans="2:29" ht="24.95" customHeight="1" thickBot="1" x14ac:dyDescent="0.25">
      <c r="B11" s="359" t="s">
        <v>56</v>
      </c>
      <c r="C11" s="364"/>
      <c r="D11" s="196">
        <f>SUM(D7:D10)</f>
        <v>696</v>
      </c>
      <c r="E11" s="188">
        <f>F11/D11</f>
        <v>0.83631609195402301</v>
      </c>
      <c r="F11" s="189">
        <f>SUM(F7:F10)</f>
        <v>582.07600000000002</v>
      </c>
      <c r="H11" s="872" t="s">
        <v>58</v>
      </c>
      <c r="I11" s="873"/>
      <c r="J11" s="40" t="s">
        <v>2</v>
      </c>
      <c r="K11" s="200" t="s">
        <v>119</v>
      </c>
      <c r="M11" s="212" t="s">
        <v>73</v>
      </c>
      <c r="N11" s="219">
        <v>28</v>
      </c>
      <c r="P11" s="67" t="s">
        <v>25</v>
      </c>
      <c r="Q11" s="68">
        <f>IF(Carburant_Bloc_02&gt;Carburant_utilisable_02,Carburant_utilisable_02-(Carburant_Bloc_02-Carburant_utilisable_02),Carburant_utilisable_02)</f>
        <v>52</v>
      </c>
      <c r="R11" s="159" t="s">
        <v>80</v>
      </c>
      <c r="S11" s="160"/>
      <c r="T11" s="161">
        <f>Bagages_02</f>
        <v>10</v>
      </c>
      <c r="U11" s="162">
        <f t="shared" si="0"/>
        <v>1.63</v>
      </c>
      <c r="V11" s="163">
        <f>T11*U11</f>
        <v>16.299999999999997</v>
      </c>
    </row>
    <row r="12" spans="2:29" ht="24.95" customHeight="1" thickBot="1" x14ac:dyDescent="0.25">
      <c r="B12" s="360" t="s">
        <v>57</v>
      </c>
      <c r="C12" s="361">
        <f>N9+N8</f>
        <v>57</v>
      </c>
      <c r="D12" s="191">
        <f>Densité_Carburant_02*C12</f>
        <v>41.04</v>
      </c>
      <c r="E12" s="192">
        <v>1.016</v>
      </c>
      <c r="F12" s="193">
        <f>E12*D12</f>
        <v>41.696640000000002</v>
      </c>
      <c r="H12" s="870" t="s">
        <v>86</v>
      </c>
      <c r="I12" s="871"/>
      <c r="J12" s="139">
        <f>J20*K20</f>
        <v>424.32</v>
      </c>
      <c r="K12" s="201">
        <f>Masse_à_vide_02</f>
        <v>544</v>
      </c>
      <c r="M12" s="220" t="s">
        <v>8</v>
      </c>
      <c r="N12" s="221">
        <f>N11/60</f>
        <v>0.46666666666666667</v>
      </c>
      <c r="P12" s="67" t="s">
        <v>26</v>
      </c>
      <c r="Q12" s="75">
        <f>Q11/Q10</f>
        <v>111.42857142857143</v>
      </c>
      <c r="R12" s="175" t="s">
        <v>57</v>
      </c>
      <c r="S12" s="612">
        <f>IF(Carburant_Bloc_02&gt;(Carburant_Aile_Droite_02+Carburant_Aile_Gauche_02),0,(Carburant_Aile_Droite_02+Carburant_Aile_Gauche_02)-Carburant_Bloc_02)</f>
        <v>5.6666666666666714</v>
      </c>
      <c r="T12" s="176">
        <f>S12*Densité_Carburant_02</f>
        <v>4.0800000000000036</v>
      </c>
      <c r="U12" s="177">
        <f>E12</f>
        <v>1.016</v>
      </c>
      <c r="V12" s="178">
        <f>T12*U12</f>
        <v>4.1452800000000041</v>
      </c>
    </row>
    <row r="13" spans="2:29" ht="24.95" customHeight="1" thickBot="1" x14ac:dyDescent="0.25">
      <c r="B13" s="305" t="s">
        <v>12</v>
      </c>
      <c r="C13" s="306">
        <f>SUM(C12:C12)</f>
        <v>57</v>
      </c>
      <c r="D13" s="307">
        <f>D11+D12</f>
        <v>737.04</v>
      </c>
      <c r="E13" s="307">
        <f>Moment_Décollage_02/Masse_Décollage_02</f>
        <v>0.84632128514056237</v>
      </c>
      <c r="F13" s="308">
        <f>F11+F12</f>
        <v>623.77264000000002</v>
      </c>
      <c r="H13" s="852" t="s">
        <v>81</v>
      </c>
      <c r="I13" s="853"/>
      <c r="J13" s="140">
        <f>J21*K21</f>
        <v>477.36</v>
      </c>
      <c r="K13" s="201">
        <f>K21</f>
        <v>612</v>
      </c>
      <c r="M13" s="877" t="str">
        <f>IF(Capacité_carburant_Max_02&gt;98,"ERREUR capacité carburant !","Capacité carburant Ok !")</f>
        <v>Capacité carburant Ok !</v>
      </c>
      <c r="N13" s="878"/>
      <c r="P13" s="67" t="s">
        <v>27</v>
      </c>
      <c r="Q13" s="68">
        <f>ROUNDDOWN(Q12/60,0)</f>
        <v>1</v>
      </c>
      <c r="R13" s="313" t="s">
        <v>161</v>
      </c>
      <c r="S13" s="613">
        <f>SUM(S12)</f>
        <v>5.6666666666666714</v>
      </c>
      <c r="T13" s="314">
        <f>SUM(T8:T12)</f>
        <v>700.08</v>
      </c>
      <c r="U13" s="315">
        <f>Moment_Atterrissage_02/T13</f>
        <v>0.83736327276882638</v>
      </c>
      <c r="V13" s="316">
        <f>SUM(V8:V12)</f>
        <v>586.22127999999998</v>
      </c>
    </row>
    <row r="14" spans="2:29" ht="24.95" customHeight="1" thickBot="1" x14ac:dyDescent="0.25">
      <c r="B14" s="792" t="str">
        <f>IF(C13&gt;98,"* ATTENTION ! Le total carburant est supérieur à la capacité totale !","")</f>
        <v/>
      </c>
      <c r="C14" s="792"/>
      <c r="D14" s="792"/>
      <c r="E14" s="792"/>
      <c r="F14" s="792"/>
      <c r="H14" s="860" t="s">
        <v>82</v>
      </c>
      <c r="I14" s="861"/>
      <c r="J14" s="141">
        <f>J22*K22</f>
        <v>629.14</v>
      </c>
      <c r="K14" s="201">
        <f>K22</f>
        <v>758</v>
      </c>
      <c r="M14" s="829" t="str">
        <f>UPPER("Carburant Exploit. générale")</f>
        <v>CARBURANT EXPLOIT. GÉNÉRALE</v>
      </c>
      <c r="N14" s="831"/>
      <c r="O14" s="580"/>
      <c r="P14" s="10" t="s">
        <v>28</v>
      </c>
      <c r="Q14" s="692">
        <f>Q12-(Q13*60)</f>
        <v>51.428571428571431</v>
      </c>
      <c r="R14" s="851" t="str">
        <f>IF(S12=Réserve_Finale_02,"Le carburant restant dans le réservoir principal correspond à la réserve finale","")</f>
        <v/>
      </c>
      <c r="S14" s="851"/>
      <c r="T14" s="851"/>
      <c r="U14" s="851"/>
      <c r="V14" s="851"/>
      <c r="W14" s="49"/>
      <c r="X14" s="14"/>
      <c r="Y14" s="14"/>
      <c r="Z14" s="14"/>
      <c r="AA14" s="14"/>
      <c r="AB14" s="14"/>
      <c r="AC14" s="14"/>
    </row>
    <row r="15" spans="2:29" ht="24.95" customHeight="1" x14ac:dyDescent="0.2">
      <c r="B15" s="15"/>
      <c r="D15" s="799" t="str">
        <f>UPPER("Masse Totale :")</f>
        <v>MASSE TOTALE :</v>
      </c>
      <c r="E15" s="800"/>
      <c r="F15" s="562">
        <f>IF(Masse_Décollage_02&gt;Masse_Max_Décollage_02,"DANGER",Masse_Décollage_02)</f>
        <v>737.04</v>
      </c>
      <c r="H15" s="852" t="s">
        <v>83</v>
      </c>
      <c r="I15" s="853"/>
      <c r="J15" s="140">
        <f>J23*K23</f>
        <v>697.36</v>
      </c>
      <c r="K15" s="201">
        <f>K23</f>
        <v>758</v>
      </c>
      <c r="M15" s="858" t="str">
        <f>IF(Carburant_Bloc_02&gt;Carburant_utilisable_02,"DANGER - Total carburant insuffisant !","OK - Quantité de carburant suffisante")</f>
        <v>OK - Quantité de carburant suffisante</v>
      </c>
      <c r="N15" s="859"/>
      <c r="O15" s="689"/>
      <c r="P15" s="693"/>
      <c r="Q15" s="694"/>
      <c r="R15" s="581"/>
      <c r="S15" s="580" t="s">
        <v>236</v>
      </c>
      <c r="T15" s="580" t="s">
        <v>33</v>
      </c>
      <c r="U15" s="580" t="s">
        <v>241</v>
      </c>
      <c r="V15" s="580" t="s">
        <v>234</v>
      </c>
      <c r="W15" s="580" t="s">
        <v>233</v>
      </c>
      <c r="X15" s="580" t="s">
        <v>235</v>
      </c>
      <c r="Y15" s="580" t="s">
        <v>237</v>
      </c>
      <c r="Z15" s="580" t="s">
        <v>240</v>
      </c>
      <c r="AA15" s="14"/>
      <c r="AB15" s="14"/>
      <c r="AC15" s="14"/>
    </row>
    <row r="16" spans="2:29" ht="24.95" customHeight="1" thickBot="1" x14ac:dyDescent="0.25">
      <c r="B16" s="3"/>
      <c r="D16" s="788" t="str">
        <f>UPPER("Bras de levier :")</f>
        <v>BRAS DE LEVIER :</v>
      </c>
      <c r="E16" s="789"/>
      <c r="F16" s="319">
        <f>IF(Moment_Décollage_02/Masse_Décollage_02&gt;1.201,"DANGER",Moment_Décollage_02/Masse_Décollage_02)</f>
        <v>0.84632128514056237</v>
      </c>
      <c r="H16" s="854" t="s">
        <v>84</v>
      </c>
      <c r="I16" s="855"/>
      <c r="J16" s="142">
        <f>J24*K24</f>
        <v>500.48</v>
      </c>
      <c r="K16" s="202">
        <f>Masse_à_vide_02</f>
        <v>544</v>
      </c>
      <c r="M16" s="212" t="s">
        <v>102</v>
      </c>
      <c r="N16" s="219">
        <f>Durée_Totale_Vol_02*Consommation_minute_02</f>
        <v>28</v>
      </c>
      <c r="O16" s="25"/>
      <c r="P16" s="10"/>
      <c r="Q16" s="13"/>
      <c r="R16" s="581" t="s">
        <v>242</v>
      </c>
      <c r="S16" s="582">
        <v>49</v>
      </c>
      <c r="T16" s="579">
        <f>Carburant_Aile_Droite_02</f>
        <v>32</v>
      </c>
      <c r="U16" s="599">
        <f>T16/3.78541</f>
        <v>8.453509659455646</v>
      </c>
      <c r="V16" s="583">
        <f>1-W16</f>
        <v>0.34693877551020413</v>
      </c>
      <c r="W16" s="583">
        <f>T16/S16</f>
        <v>0.65306122448979587</v>
      </c>
      <c r="X16" s="584">
        <v>0.2</v>
      </c>
      <c r="Y16" s="584">
        <v>0.2</v>
      </c>
      <c r="Z16" s="584">
        <v>0.2</v>
      </c>
      <c r="AA16" s="14"/>
      <c r="AB16" s="14"/>
      <c r="AC16" s="14"/>
    </row>
    <row r="17" spans="2:29" ht="24.95" customHeight="1" thickBot="1" x14ac:dyDescent="0.25">
      <c r="B17" s="792" t="str">
        <f>IF(Masse_Décollage_02&gt;Masse_Max_Décollage_02,"* ATTENTION ! La masse max au décollage est dépassée !","")</f>
        <v/>
      </c>
      <c r="C17" s="792"/>
      <c r="D17" s="792"/>
      <c r="E17" s="792"/>
      <c r="F17" s="792"/>
      <c r="H17" s="203" t="s">
        <v>113</v>
      </c>
      <c r="I17" s="143">
        <f>Moment_Décollage_02</f>
        <v>623.77264000000002</v>
      </c>
      <c r="J17" s="144">
        <f>I17/K17</f>
        <v>0.84632128514056237</v>
      </c>
      <c r="K17" s="557">
        <f>Masse_Décollage_02</f>
        <v>737.04</v>
      </c>
      <c r="M17" s="212" t="s">
        <v>103</v>
      </c>
      <c r="N17" s="219">
        <f>Nbre_Aérodromes_02*(Consommation_minute_02*10)</f>
        <v>4.666666666666667</v>
      </c>
      <c r="O17" s="25"/>
      <c r="P17" s="695" t="s">
        <v>141</v>
      </c>
      <c r="Q17" s="13"/>
      <c r="R17" s="581"/>
      <c r="S17" s="580" t="s">
        <v>236</v>
      </c>
      <c r="T17" s="580" t="s">
        <v>33</v>
      </c>
      <c r="U17" s="599"/>
      <c r="V17" s="580" t="s">
        <v>234</v>
      </c>
      <c r="W17" s="580" t="s">
        <v>233</v>
      </c>
      <c r="X17" s="580" t="s">
        <v>235</v>
      </c>
      <c r="Y17" s="580" t="s">
        <v>237</v>
      </c>
      <c r="Z17" s="580" t="s">
        <v>240</v>
      </c>
      <c r="AA17" s="14"/>
      <c r="AB17" s="14"/>
      <c r="AC17" s="14"/>
    </row>
    <row r="18" spans="2:29" ht="24.95" customHeight="1" thickBot="1" x14ac:dyDescent="0.25">
      <c r="B18" s="885" t="s">
        <v>30</v>
      </c>
      <c r="C18" s="886"/>
      <c r="D18" s="886"/>
      <c r="E18" s="886"/>
      <c r="F18" s="887"/>
      <c r="H18" s="204" t="s">
        <v>114</v>
      </c>
      <c r="I18" s="145">
        <f>Moment_Atterrissage_02</f>
        <v>586.22127999999998</v>
      </c>
      <c r="J18" s="146">
        <f>I18/K18</f>
        <v>0.83736327276882638</v>
      </c>
      <c r="K18" s="558">
        <f>Masse_Atterrissage_02</f>
        <v>700.08</v>
      </c>
      <c r="M18" s="213" t="s">
        <v>143</v>
      </c>
      <c r="N18" s="219">
        <f>SUM(N16:N17)</f>
        <v>32.666666666666664</v>
      </c>
      <c r="O18" s="25"/>
      <c r="P18" s="10" t="s">
        <v>122</v>
      </c>
      <c r="Q18" s="690">
        <f>Carburant_Bloc_02/Durée_Totale_Vol_02</f>
        <v>0.85555555555555551</v>
      </c>
      <c r="R18" s="581" t="s">
        <v>243</v>
      </c>
      <c r="S18" s="582">
        <v>49</v>
      </c>
      <c r="T18" s="579">
        <f>Carburant_Aile_Gauche_02</f>
        <v>25</v>
      </c>
      <c r="U18" s="599">
        <f>T18/3.78541</f>
        <v>6.604304421449724</v>
      </c>
      <c r="V18" s="583">
        <f>1-W18</f>
        <v>0.48979591836734693</v>
      </c>
      <c r="W18" s="583">
        <f>T18/S18</f>
        <v>0.51020408163265307</v>
      </c>
      <c r="X18" s="584">
        <v>0.2</v>
      </c>
      <c r="Y18" s="584">
        <v>0.2</v>
      </c>
      <c r="Z18" s="584">
        <v>0.2</v>
      </c>
      <c r="AA18" s="14"/>
      <c r="AB18" s="14"/>
      <c r="AC18" s="14"/>
    </row>
    <row r="19" spans="2:29" ht="24.95" customHeight="1" thickBot="1" x14ac:dyDescent="0.25">
      <c r="B19" s="896" t="s">
        <v>87</v>
      </c>
      <c r="C19" s="897"/>
      <c r="D19" s="43" t="s">
        <v>33</v>
      </c>
      <c r="E19" s="888" t="s">
        <v>34</v>
      </c>
      <c r="F19" s="889"/>
      <c r="H19" s="894" t="s">
        <v>59</v>
      </c>
      <c r="I19" s="895"/>
      <c r="J19" s="147" t="s">
        <v>120</v>
      </c>
      <c r="K19" s="205" t="s">
        <v>119</v>
      </c>
      <c r="M19" s="212" t="s">
        <v>43</v>
      </c>
      <c r="N19" s="271" t="s">
        <v>14</v>
      </c>
      <c r="O19" s="25"/>
      <c r="P19" s="10" t="s">
        <v>25</v>
      </c>
      <c r="Q19" s="13">
        <f>Q11</f>
        <v>52</v>
      </c>
      <c r="R19" s="581"/>
      <c r="S19" s="579">
        <f>Capacité_carburant_Max_02-Carburant_utilisable_02</f>
        <v>5</v>
      </c>
      <c r="T19" s="599">
        <f>S19/3.78541</f>
        <v>1.3208608842899447</v>
      </c>
      <c r="U19" s="597"/>
      <c r="V19" s="49"/>
      <c r="W19" s="49"/>
      <c r="X19" s="49"/>
      <c r="Y19" s="49"/>
      <c r="Z19" s="49"/>
      <c r="AA19" s="14"/>
      <c r="AB19" s="14"/>
      <c r="AC19" s="14"/>
    </row>
    <row r="20" spans="2:29" ht="24.95" customHeight="1" x14ac:dyDescent="0.2">
      <c r="B20" s="5" t="s">
        <v>31</v>
      </c>
      <c r="C20" s="563">
        <v>758</v>
      </c>
      <c r="D20" s="563">
        <f>Masse_Décollage_02</f>
        <v>737.04</v>
      </c>
      <c r="E20" s="890" t="str">
        <f>IF(D20&lt;=C20,"Ok !","DANGER !")</f>
        <v>Ok !</v>
      </c>
      <c r="F20" s="891"/>
      <c r="H20" s="870" t="s">
        <v>86</v>
      </c>
      <c r="I20" s="871"/>
      <c r="J20" s="148">
        <v>0.78</v>
      </c>
      <c r="K20" s="559">
        <f>Masse_à_vide_02</f>
        <v>544</v>
      </c>
      <c r="M20" s="212" t="s">
        <v>144</v>
      </c>
      <c r="N20" s="219">
        <f>IF(Durée_Totale_Vol_02&gt;0,IF(N19="Jour",Consommation_minute_02*30,Consommation_minute_02*45),0)</f>
        <v>14</v>
      </c>
      <c r="O20" s="25"/>
      <c r="P20" s="10" t="s">
        <v>26</v>
      </c>
      <c r="Q20" s="692">
        <f>Q19/Q18</f>
        <v>60.779220779220779</v>
      </c>
      <c r="R20" s="49"/>
      <c r="S20" s="49"/>
      <c r="T20" s="49"/>
      <c r="U20" s="10"/>
      <c r="V20" s="10"/>
      <c r="W20" s="49"/>
      <c r="X20" s="14"/>
      <c r="Y20" s="14"/>
      <c r="Z20" s="14"/>
      <c r="AA20" s="14"/>
      <c r="AB20" s="14"/>
      <c r="AC20" s="14"/>
    </row>
    <row r="21" spans="2:29" ht="24.95" customHeight="1" thickBot="1" x14ac:dyDescent="0.25">
      <c r="B21" s="6" t="s">
        <v>32</v>
      </c>
      <c r="C21" s="564">
        <v>758</v>
      </c>
      <c r="D21" s="564">
        <f>Masse_Atterrissage_02</f>
        <v>700.08</v>
      </c>
      <c r="E21" s="892" t="str">
        <f>IF(D21&lt;=C21,"Ok !","DANGER !")</f>
        <v>Ok !</v>
      </c>
      <c r="F21" s="893"/>
      <c r="H21" s="852" t="s">
        <v>81</v>
      </c>
      <c r="I21" s="853"/>
      <c r="J21" s="149">
        <v>0.78</v>
      </c>
      <c r="K21" s="559">
        <v>612</v>
      </c>
      <c r="M21" s="819" t="str">
        <f>IF(N19="Jour","** Réserve finale de carburant de 30 mn","** Réserve finale de carburant de 45 mn")</f>
        <v>** Réserve finale de carburant de 30 mn</v>
      </c>
      <c r="N21" s="820"/>
      <c r="O21" s="25"/>
      <c r="P21" s="10" t="s">
        <v>27</v>
      </c>
      <c r="Q21" s="692">
        <f>ROUNDDOWN(Q20/60,0)</f>
        <v>1</v>
      </c>
      <c r="R21" s="49"/>
      <c r="S21" s="49"/>
      <c r="T21" s="49"/>
      <c r="U21" s="49"/>
      <c r="V21" s="49"/>
      <c r="W21" s="49"/>
      <c r="X21" s="14"/>
      <c r="Y21" s="14"/>
      <c r="Z21" s="14"/>
      <c r="AA21" s="14"/>
      <c r="AB21" s="14"/>
      <c r="AC21" s="14"/>
    </row>
    <row r="22" spans="2:29" ht="24.95" customHeight="1" x14ac:dyDescent="0.2">
      <c r="B22" s="10" t="s">
        <v>74</v>
      </c>
      <c r="C22" s="13"/>
      <c r="D22" s="29">
        <f>C20-D20</f>
        <v>20.960000000000036</v>
      </c>
      <c r="E22" s="35"/>
      <c r="F22" s="35"/>
      <c r="H22" s="860" t="s">
        <v>82</v>
      </c>
      <c r="I22" s="861"/>
      <c r="J22" s="150">
        <v>0.83</v>
      </c>
      <c r="K22" s="559">
        <f>Masse_Max_Décollage_02</f>
        <v>758</v>
      </c>
      <c r="M22" s="212" t="s">
        <v>145</v>
      </c>
      <c r="N22" s="219">
        <f>(Consommation_horaire_02/60)*10</f>
        <v>4.666666666666667</v>
      </c>
      <c r="O22" s="588"/>
      <c r="P22" s="14" t="s">
        <v>28</v>
      </c>
      <c r="Q22" s="592">
        <f>Q20-(Q21*60)</f>
        <v>0.77922077922077904</v>
      </c>
      <c r="R22" s="587"/>
      <c r="S22" s="587"/>
      <c r="T22" s="587"/>
      <c r="U22" s="587"/>
      <c r="V22" s="587"/>
      <c r="W22" s="587"/>
      <c r="X22" s="14"/>
      <c r="Y22" s="14"/>
      <c r="Z22" s="14"/>
      <c r="AA22" s="14"/>
      <c r="AB22" s="14"/>
      <c r="AC22" s="14"/>
    </row>
    <row r="23" spans="2:29" ht="24.95" customHeight="1" thickBot="1" x14ac:dyDescent="0.25">
      <c r="B23" s="34"/>
      <c r="C23" s="35"/>
      <c r="D23" s="35"/>
      <c r="E23" s="35"/>
      <c r="F23" s="35"/>
      <c r="H23" s="852" t="s">
        <v>83</v>
      </c>
      <c r="I23" s="853"/>
      <c r="J23" s="149">
        <v>0.92</v>
      </c>
      <c r="K23" s="559">
        <f>Masse_Max_Décollage_02</f>
        <v>758</v>
      </c>
      <c r="M23" s="214" t="s">
        <v>146</v>
      </c>
      <c r="N23" s="215">
        <f>((Délestage_02+Carburant_Roulage_02)-Carburant_Destination_02)/Carburant_Destination_02</f>
        <v>0.33333333333333315</v>
      </c>
      <c r="O23" s="586"/>
      <c r="P23" s="14"/>
      <c r="Q23" s="18"/>
      <c r="R23" s="587"/>
      <c r="S23" s="587"/>
      <c r="T23" s="587"/>
      <c r="U23" s="587"/>
      <c r="V23" s="587"/>
      <c r="W23" s="587"/>
      <c r="X23" s="14"/>
      <c r="Y23" s="14"/>
      <c r="Z23" s="14"/>
      <c r="AA23" s="14"/>
      <c r="AB23" s="14"/>
      <c r="AC23" s="14"/>
    </row>
    <row r="24" spans="2:29" ht="24.95" customHeight="1" thickBot="1" x14ac:dyDescent="0.25">
      <c r="B24" s="34"/>
      <c r="C24" s="35"/>
      <c r="D24" s="35"/>
      <c r="E24" s="35"/>
      <c r="F24" s="35"/>
      <c r="G24" s="38"/>
      <c r="H24" s="854" t="s">
        <v>84</v>
      </c>
      <c r="I24" s="855"/>
      <c r="J24" s="151">
        <v>0.92</v>
      </c>
      <c r="K24" s="560">
        <f>Masse_à_vide_02</f>
        <v>544</v>
      </c>
      <c r="L24" s="38"/>
      <c r="M24" s="210" t="str">
        <f>UPPER("Carburant au bloc :")</f>
        <v>CARBURANT AU BLOC :</v>
      </c>
      <c r="N24" s="616">
        <f>Délestage_02+Réserve_Finale_02+Carburant_Roulage_02</f>
        <v>51.333333333333329</v>
      </c>
      <c r="O24" s="590"/>
      <c r="P24" s="595" t="s">
        <v>93</v>
      </c>
      <c r="Q24" s="14"/>
      <c r="R24" s="587"/>
      <c r="S24" s="587"/>
      <c r="T24" s="587"/>
      <c r="U24" s="587"/>
      <c r="V24" s="587"/>
      <c r="W24" s="587"/>
      <c r="X24" s="14"/>
      <c r="Y24" s="14"/>
      <c r="Z24" s="14"/>
      <c r="AA24" s="14"/>
      <c r="AB24" s="14"/>
      <c r="AC24" s="14"/>
    </row>
    <row r="25" spans="2:29" ht="24.95" customHeight="1" x14ac:dyDescent="0.2">
      <c r="B25" s="34"/>
      <c r="C25" s="35"/>
      <c r="D25" s="35"/>
      <c r="E25" s="35"/>
      <c r="F25" s="35"/>
      <c r="H25" s="203" t="s">
        <v>115</v>
      </c>
      <c r="I25" s="152">
        <f>Moment_Décollage_02</f>
        <v>623.77264000000002</v>
      </c>
      <c r="J25" s="153">
        <f>E13</f>
        <v>0.84632128514056237</v>
      </c>
      <c r="K25" s="557">
        <f>I25/J25</f>
        <v>737.04</v>
      </c>
      <c r="M25" s="209" t="s">
        <v>139</v>
      </c>
      <c r="N25" s="617">
        <f>((Carburant_Bloc_02)/Durée_Totale_Vol_02)*60</f>
        <v>51.333333333333329</v>
      </c>
      <c r="O25" s="14"/>
      <c r="P25" s="14" t="s">
        <v>89</v>
      </c>
      <c r="Q25" s="591">
        <f>Masse_Décollage_02</f>
        <v>737.04</v>
      </c>
      <c r="R25" s="587"/>
      <c r="S25" s="587"/>
      <c r="T25" s="587"/>
      <c r="U25" s="587"/>
      <c r="V25" s="587"/>
      <c r="W25" s="587"/>
      <c r="X25" s="14"/>
      <c r="Y25" s="14"/>
      <c r="Z25" s="14"/>
      <c r="AA25" s="14"/>
      <c r="AB25" s="14"/>
      <c r="AC25" s="14"/>
    </row>
    <row r="26" spans="2:29" ht="24.95" customHeight="1" thickBot="1" x14ac:dyDescent="0.25">
      <c r="B26" s="34"/>
      <c r="C26" s="35"/>
      <c r="D26" s="35"/>
      <c r="E26" s="35"/>
      <c r="F26" s="35"/>
      <c r="H26" s="206" t="s">
        <v>116</v>
      </c>
      <c r="I26" s="207">
        <f>Moment_Atterrissage_02</f>
        <v>586.22127999999998</v>
      </c>
      <c r="J26" s="208">
        <f>U13</f>
        <v>0.83736327276882638</v>
      </c>
      <c r="K26" s="561">
        <f>I26/J26</f>
        <v>700.08</v>
      </c>
      <c r="M26" s="211" t="s">
        <v>148</v>
      </c>
      <c r="N26" s="618">
        <f>(Capacité_carburant_Max_02)-Carburant_Bloc_02</f>
        <v>5.6666666666666714</v>
      </c>
      <c r="O26" s="588"/>
      <c r="P26" s="14" t="s">
        <v>90</v>
      </c>
      <c r="Q26" s="591">
        <f>Masse_Atterrissage_02</f>
        <v>700.08</v>
      </c>
      <c r="R26" s="587"/>
      <c r="S26" s="587"/>
      <c r="T26" s="587"/>
      <c r="U26" s="587"/>
      <c r="V26" s="587"/>
      <c r="W26" s="587"/>
      <c r="X26" s="14"/>
      <c r="Y26" s="14"/>
      <c r="Z26" s="14"/>
      <c r="AA26" s="14"/>
      <c r="AB26" s="14"/>
      <c r="AC26" s="14"/>
    </row>
    <row r="27" spans="2:29" ht="24.95" customHeight="1" thickBot="1" x14ac:dyDescent="0.25">
      <c r="B27" s="34"/>
      <c r="C27" s="35"/>
      <c r="D27" s="35"/>
      <c r="E27" s="35"/>
      <c r="F27" s="35"/>
      <c r="H27" s="792" t="str">
        <f>IF(Moment_Décollage_02&gt;697.36,"* DANGER : Avion hors centrage arrière, INTERDICTION de décoller !","")</f>
        <v/>
      </c>
      <c r="I27" s="792"/>
      <c r="J27" s="792"/>
      <c r="K27" s="792"/>
      <c r="L27" s="12"/>
      <c r="M27" s="262" t="s">
        <v>263</v>
      </c>
      <c r="N27" s="619">
        <f>(Carburant_utilisable_02)-Carburant_Bloc_02</f>
        <v>0.6666666666666714</v>
      </c>
      <c r="O27" s="588"/>
      <c r="P27" s="14"/>
      <c r="Q27" s="18"/>
      <c r="R27" s="587"/>
      <c r="S27" s="587"/>
      <c r="T27" s="587"/>
      <c r="U27" s="587"/>
      <c r="V27" s="587"/>
      <c r="W27" s="587"/>
      <c r="X27" s="14"/>
      <c r="Y27" s="14"/>
      <c r="Z27" s="14"/>
      <c r="AA27" s="14"/>
      <c r="AB27" s="14"/>
      <c r="AC27" s="14"/>
    </row>
    <row r="28" spans="2:29" ht="24.95" customHeight="1" x14ac:dyDescent="0.2">
      <c r="B28" s="34"/>
      <c r="C28" s="35"/>
      <c r="D28" s="35"/>
      <c r="E28" s="35"/>
      <c r="F28" s="35"/>
      <c r="L28" s="3"/>
      <c r="M28" s="3"/>
      <c r="O28" s="588"/>
      <c r="P28" s="14"/>
      <c r="Q28" s="18"/>
      <c r="R28" s="587"/>
      <c r="S28" s="587"/>
      <c r="T28" s="587"/>
      <c r="U28" s="587"/>
      <c r="V28" s="587"/>
      <c r="W28" s="587"/>
      <c r="X28" s="14"/>
      <c r="Y28" s="14"/>
      <c r="Z28" s="14"/>
      <c r="AA28" s="14"/>
      <c r="AB28" s="14"/>
      <c r="AC28" s="14"/>
    </row>
    <row r="29" spans="2:29" ht="24.95" customHeight="1" x14ac:dyDescent="0.2">
      <c r="B29" s="34"/>
      <c r="C29" s="35"/>
      <c r="D29" s="35"/>
      <c r="E29" s="35"/>
      <c r="F29" s="35"/>
      <c r="O29" s="588"/>
      <c r="P29" s="14"/>
      <c r="Q29" s="18"/>
      <c r="R29" s="587"/>
      <c r="S29" s="587"/>
      <c r="T29" s="587"/>
      <c r="U29" s="587"/>
      <c r="V29" s="587"/>
      <c r="W29" s="587"/>
      <c r="X29" s="14"/>
      <c r="Y29" s="14"/>
      <c r="Z29" s="14"/>
      <c r="AA29" s="14"/>
      <c r="AB29" s="14"/>
      <c r="AC29" s="14"/>
    </row>
    <row r="30" spans="2:29" ht="24.95" customHeight="1" x14ac:dyDescent="0.2">
      <c r="B30" s="34"/>
      <c r="C30" s="35"/>
      <c r="D30" s="35"/>
      <c r="E30" s="35"/>
      <c r="F30" s="35"/>
      <c r="O30" s="588"/>
      <c r="P30" s="14"/>
      <c r="Q30" s="18"/>
      <c r="R30" s="587"/>
      <c r="S30" s="587"/>
      <c r="T30" s="587"/>
      <c r="U30" s="587"/>
      <c r="V30" s="587"/>
      <c r="W30" s="587"/>
      <c r="X30" s="14"/>
      <c r="Y30" s="14"/>
      <c r="Z30" s="14"/>
      <c r="AA30" s="14"/>
      <c r="AB30" s="14"/>
      <c r="AC30" s="14"/>
    </row>
    <row r="31" spans="2:29" ht="18" customHeight="1" x14ac:dyDescent="0.2">
      <c r="B31" s="34"/>
      <c r="C31" s="35"/>
      <c r="D31" s="35"/>
      <c r="E31" s="35"/>
      <c r="F31" s="35"/>
      <c r="O31" s="588"/>
      <c r="P31" s="14"/>
      <c r="Q31" s="18"/>
      <c r="R31" s="587"/>
      <c r="S31" s="587"/>
      <c r="T31" s="587"/>
      <c r="U31" s="587"/>
      <c r="V31" s="587"/>
      <c r="W31" s="587"/>
      <c r="X31" s="14"/>
      <c r="Y31" s="14"/>
      <c r="Z31" s="14"/>
      <c r="AA31" s="14"/>
      <c r="AB31" s="14"/>
      <c r="AC31" s="14"/>
    </row>
    <row r="32" spans="2:29" ht="18" customHeight="1" x14ac:dyDescent="0.2">
      <c r="B32" s="34"/>
      <c r="C32" s="35"/>
      <c r="D32" s="35"/>
      <c r="E32" s="35"/>
      <c r="F32" s="35"/>
      <c r="O32" s="588"/>
      <c r="P32" s="14"/>
      <c r="Q32" s="18"/>
      <c r="R32" s="587"/>
      <c r="S32" s="587"/>
      <c r="T32" s="587"/>
      <c r="U32" s="587"/>
      <c r="V32" s="587"/>
      <c r="W32" s="587"/>
      <c r="X32" s="14"/>
      <c r="Y32" s="14"/>
      <c r="Z32" s="14"/>
      <c r="AA32" s="14"/>
      <c r="AB32" s="14"/>
      <c r="AC32" s="14"/>
    </row>
    <row r="33" spans="2:29" x14ac:dyDescent="0.2">
      <c r="B33" s="34"/>
      <c r="C33" s="35"/>
      <c r="D33" s="35"/>
      <c r="E33" s="35"/>
      <c r="F33" s="35"/>
      <c r="O33" s="588"/>
      <c r="P33" s="14"/>
      <c r="Q33" s="18"/>
      <c r="R33" s="587"/>
      <c r="S33" s="587"/>
      <c r="T33" s="587"/>
      <c r="U33" s="587"/>
      <c r="V33" s="587"/>
      <c r="W33" s="587"/>
      <c r="X33" s="14"/>
      <c r="Y33" s="14"/>
      <c r="Z33" s="14"/>
      <c r="AA33" s="14"/>
      <c r="AB33" s="14"/>
      <c r="AC33" s="14"/>
    </row>
    <row r="45" spans="2:29" x14ac:dyDescent="0.2">
      <c r="M45" s="660"/>
      <c r="N45" s="660"/>
    </row>
    <row r="46" spans="2:29" x14ac:dyDescent="0.25">
      <c r="F46" s="19"/>
      <c r="K46" s="34"/>
      <c r="L46" s="34"/>
      <c r="O46" s="59"/>
      <c r="P46" s="34"/>
      <c r="Q46" s="35"/>
      <c r="R46" s="60"/>
    </row>
    <row r="47" spans="2:29" ht="19.5" thickBot="1" x14ac:dyDescent="0.3">
      <c r="C47" s="20"/>
      <c r="D47" s="20"/>
      <c r="E47" s="20"/>
      <c r="F47" s="19"/>
      <c r="K47" s="34"/>
      <c r="L47" s="34"/>
      <c r="M47" s="667"/>
      <c r="N47" s="668"/>
      <c r="O47" s="59"/>
      <c r="P47" s="34"/>
      <c r="Q47" s="35"/>
      <c r="R47" s="60"/>
    </row>
    <row r="48" spans="2:29" x14ac:dyDescent="0.25">
      <c r="C48" s="20"/>
      <c r="D48" s="20"/>
      <c r="E48" s="20"/>
      <c r="F48" s="19"/>
      <c r="K48" s="34"/>
      <c r="L48" s="34"/>
      <c r="M48" s="883" t="s">
        <v>18</v>
      </c>
      <c r="N48" s="884"/>
      <c r="O48" s="59"/>
      <c r="P48" s="34"/>
      <c r="Q48" s="35"/>
      <c r="R48" s="60"/>
    </row>
    <row r="49" spans="1:18" x14ac:dyDescent="0.25">
      <c r="F49" s="19"/>
      <c r="G49" s="20"/>
      <c r="K49" s="34"/>
      <c r="L49" s="34"/>
      <c r="M49" s="166"/>
      <c r="N49" s="167"/>
      <c r="O49" s="59"/>
      <c r="P49" s="34"/>
      <c r="Q49" s="35"/>
      <c r="R49" s="60"/>
    </row>
    <row r="50" spans="1:18" x14ac:dyDescent="0.25">
      <c r="F50" s="19"/>
      <c r="G50" s="20"/>
      <c r="H50" s="20"/>
      <c r="K50" s="34"/>
      <c r="L50" s="34"/>
      <c r="M50" s="166"/>
      <c r="N50" s="167"/>
      <c r="O50" s="59"/>
      <c r="P50" s="34"/>
      <c r="Q50" s="35"/>
      <c r="R50" s="60"/>
    </row>
    <row r="51" spans="1:18" x14ac:dyDescent="0.25">
      <c r="F51" s="19"/>
      <c r="G51" s="20"/>
      <c r="H51" s="20"/>
      <c r="I51" s="20"/>
      <c r="J51" s="20"/>
      <c r="K51" s="661"/>
      <c r="L51" s="34"/>
      <c r="M51" s="166"/>
      <c r="N51" s="167"/>
      <c r="O51" s="59"/>
      <c r="P51" s="34"/>
      <c r="Q51" s="35"/>
      <c r="R51" s="60"/>
    </row>
    <row r="52" spans="1:18" x14ac:dyDescent="0.25">
      <c r="F52" s="19"/>
      <c r="G52" s="20"/>
      <c r="H52" s="20"/>
      <c r="I52" s="20"/>
      <c r="J52" s="20"/>
      <c r="K52" s="661"/>
      <c r="L52" s="34"/>
      <c r="M52" s="166"/>
      <c r="N52" s="167"/>
      <c r="O52" s="59"/>
      <c r="P52" s="34"/>
      <c r="Q52" s="35"/>
      <c r="R52" s="60"/>
    </row>
    <row r="53" spans="1:18" x14ac:dyDescent="0.25">
      <c r="F53" s="19"/>
      <c r="G53" s="20"/>
      <c r="H53" s="20"/>
      <c r="K53" s="34"/>
      <c r="L53" s="34"/>
      <c r="M53" s="166"/>
      <c r="N53" s="167"/>
      <c r="O53" s="59"/>
      <c r="P53" s="34"/>
      <c r="Q53" s="35"/>
      <c r="R53" s="60"/>
    </row>
    <row r="54" spans="1:18" x14ac:dyDescent="0.25">
      <c r="C54" s="20"/>
      <c r="D54" s="20"/>
      <c r="E54" s="20"/>
      <c r="F54" s="19"/>
      <c r="G54" s="20"/>
      <c r="H54" s="20"/>
      <c r="K54" s="34"/>
      <c r="L54" s="34"/>
      <c r="M54" s="166"/>
      <c r="N54" s="167"/>
      <c r="O54" s="62"/>
      <c r="P54" s="662"/>
      <c r="Q54" s="35"/>
      <c r="R54" s="60"/>
    </row>
    <row r="55" spans="1:18" ht="19.5" thickBot="1" x14ac:dyDescent="0.3">
      <c r="A55" s="677"/>
      <c r="B55" s="677"/>
      <c r="C55" s="680"/>
      <c r="D55" s="680"/>
      <c r="E55" s="680"/>
      <c r="F55" s="680"/>
      <c r="G55" s="679"/>
      <c r="H55" s="679"/>
      <c r="I55" s="677"/>
      <c r="J55" s="677"/>
      <c r="K55" s="681"/>
      <c r="L55" s="682"/>
      <c r="M55" s="168"/>
      <c r="N55" s="169"/>
      <c r="O55" s="63"/>
      <c r="P55" s="664"/>
      <c r="Q55" s="35"/>
      <c r="R55" s="60"/>
    </row>
    <row r="56" spans="1:18" x14ac:dyDescent="0.25">
      <c r="C56" s="16"/>
      <c r="D56" s="16"/>
      <c r="E56" s="16"/>
      <c r="F56" s="16"/>
      <c r="G56" s="20"/>
      <c r="H56" s="20"/>
      <c r="K56" s="34"/>
      <c r="L56" s="34"/>
      <c r="M56" s="663"/>
      <c r="N56" s="63"/>
      <c r="O56" s="63"/>
      <c r="P56" s="664"/>
      <c r="Q56" s="35"/>
      <c r="R56" s="60"/>
    </row>
    <row r="57" spans="1:18" x14ac:dyDescent="0.25">
      <c r="G57" s="20"/>
      <c r="H57" s="20"/>
      <c r="K57" s="34"/>
      <c r="L57" s="34"/>
      <c r="M57" s="663"/>
      <c r="N57" s="63"/>
      <c r="O57" s="63"/>
      <c r="P57" s="664"/>
      <c r="Q57" s="35"/>
      <c r="R57" s="60"/>
    </row>
    <row r="58" spans="1:18" x14ac:dyDescent="0.25">
      <c r="G58" s="17"/>
      <c r="H58" s="20"/>
      <c r="I58" s="20"/>
      <c r="J58" s="20"/>
      <c r="K58" s="661"/>
      <c r="L58" s="34"/>
      <c r="M58" s="663"/>
      <c r="N58" s="63"/>
      <c r="O58" s="63"/>
      <c r="P58" s="664"/>
      <c r="Q58" s="35"/>
      <c r="R58" s="60"/>
    </row>
    <row r="59" spans="1:18" x14ac:dyDescent="0.2">
      <c r="G59" s="17"/>
      <c r="H59" s="17"/>
      <c r="I59" s="17"/>
      <c r="J59" s="17"/>
      <c r="K59" s="665"/>
      <c r="L59" s="34"/>
      <c r="M59" s="663"/>
      <c r="N59" s="63"/>
      <c r="O59" s="63"/>
      <c r="P59" s="664"/>
      <c r="Q59" s="35"/>
      <c r="R59" s="60"/>
    </row>
    <row r="60" spans="1:18" x14ac:dyDescent="0.2">
      <c r="H60" s="17"/>
      <c r="I60" s="17"/>
      <c r="J60" s="17"/>
      <c r="K60" s="665"/>
      <c r="L60" s="34"/>
      <c r="M60" s="666"/>
      <c r="N60" s="63"/>
      <c r="O60" s="63"/>
      <c r="P60" s="664"/>
      <c r="Q60" s="35"/>
      <c r="R60" s="60"/>
    </row>
    <row r="61" spans="1:18" x14ac:dyDescent="0.2">
      <c r="M61" s="31"/>
      <c r="N61" s="30"/>
      <c r="O61" s="83"/>
      <c r="P61" s="76"/>
    </row>
  </sheetData>
  <sheetProtection algorithmName="SHA-512" hashValue="/nldRQoLxhOOnImbzQ5VRXTtQiM0kIcuJ3Hibi92RndGeg/dvrZ9EHibHo9lKttrhR57hF3cJe1lPuGYcbr6Ug==" saltValue="8S3sG/9jTHxDXAIVGATyFw==" spinCount="100000" sheet="1" objects="1" scenarios="1" selectLockedCells="1"/>
  <mergeCells count="49">
    <mergeCell ref="M48:N48"/>
    <mergeCell ref="B17:F17"/>
    <mergeCell ref="H21:I21"/>
    <mergeCell ref="B18:F18"/>
    <mergeCell ref="H22:I22"/>
    <mergeCell ref="E19:F19"/>
    <mergeCell ref="H23:I23"/>
    <mergeCell ref="H20:I20"/>
    <mergeCell ref="E20:F20"/>
    <mergeCell ref="H24:I24"/>
    <mergeCell ref="M21:N21"/>
    <mergeCell ref="E21:F21"/>
    <mergeCell ref="H19:I19"/>
    <mergeCell ref="H27:K27"/>
    <mergeCell ref="B19:C19"/>
    <mergeCell ref="M5:N5"/>
    <mergeCell ref="M13:N13"/>
    <mergeCell ref="H13:I13"/>
    <mergeCell ref="H6:I6"/>
    <mergeCell ref="J6:K6"/>
    <mergeCell ref="H5:I5"/>
    <mergeCell ref="B14:F14"/>
    <mergeCell ref="H12:I12"/>
    <mergeCell ref="H11:I11"/>
    <mergeCell ref="H10:K10"/>
    <mergeCell ref="C5:F5"/>
    <mergeCell ref="D15:E15"/>
    <mergeCell ref="D16:E16"/>
    <mergeCell ref="H14:I14"/>
    <mergeCell ref="B1:N1"/>
    <mergeCell ref="B2:C2"/>
    <mergeCell ref="D2:E2"/>
    <mergeCell ref="G2:H2"/>
    <mergeCell ref="I2:J2"/>
    <mergeCell ref="M2:N2"/>
    <mergeCell ref="B3:C3"/>
    <mergeCell ref="D3:F3"/>
    <mergeCell ref="I3:J3"/>
    <mergeCell ref="M3:N3"/>
    <mergeCell ref="M4:N4"/>
    <mergeCell ref="M14:N14"/>
    <mergeCell ref="H7:J7"/>
    <mergeCell ref="R7:S7"/>
    <mergeCell ref="R14:V14"/>
    <mergeCell ref="H9:K9"/>
    <mergeCell ref="H15:I15"/>
    <mergeCell ref="H16:I16"/>
    <mergeCell ref="H8:J8"/>
    <mergeCell ref="M15:N15"/>
  </mergeCells>
  <conditionalFormatting sqref="B14:F14">
    <cfRule type="cellIs" dxfId="244" priority="41" operator="equal">
      <formula>"* ATTENTION ! Le total carburant est supérieur à la capacité totale !"</formula>
    </cfRule>
  </conditionalFormatting>
  <conditionalFormatting sqref="B17:F17">
    <cfRule type="cellIs" dxfId="243" priority="40" operator="equal">
      <formula>"* ATTENTION ! La masse max au décollage est dépassée !"</formula>
    </cfRule>
  </conditionalFormatting>
  <conditionalFormatting sqref="C13">
    <cfRule type="cellIs" dxfId="242" priority="44" operator="greaterThan">
      <formula>212</formula>
    </cfRule>
  </conditionalFormatting>
  <conditionalFormatting sqref="D10">
    <cfRule type="cellIs" dxfId="241" priority="9" operator="greaterThan">
      <formula>54</formula>
    </cfRule>
  </conditionalFormatting>
  <conditionalFormatting sqref="D13">
    <cfRule type="cellIs" dxfId="240" priority="10" operator="greaterThan">
      <formula>$C$20</formula>
    </cfRule>
  </conditionalFormatting>
  <conditionalFormatting sqref="D20">
    <cfRule type="cellIs" dxfId="239" priority="30" operator="greaterThan">
      <formula>$C$20</formula>
    </cfRule>
  </conditionalFormatting>
  <conditionalFormatting sqref="D21">
    <cfRule type="cellIs" dxfId="238" priority="29" operator="greaterThan">
      <formula>$C$21</formula>
    </cfRule>
  </conditionalFormatting>
  <conditionalFormatting sqref="E20:E21">
    <cfRule type="cellIs" dxfId="237" priority="31" operator="equal">
      <formula>"DANGER !"</formula>
    </cfRule>
    <cfRule type="cellIs" dxfId="236" priority="32" operator="equal">
      <formula>"Ok !"</formula>
    </cfRule>
  </conditionalFormatting>
  <conditionalFormatting sqref="F13">
    <cfRule type="cellIs" dxfId="235" priority="39" operator="greaterThan">
      <formula>1389.557</formula>
    </cfRule>
  </conditionalFormatting>
  <conditionalFormatting sqref="F15">
    <cfRule type="cellIs" dxfId="234" priority="48" operator="greaterThan">
      <formula>$C$20</formula>
    </cfRule>
    <cfRule type="cellIs" dxfId="233" priority="51" operator="equal">
      <formula>"DANGER"</formula>
    </cfRule>
  </conditionalFormatting>
  <conditionalFormatting sqref="F16">
    <cfRule type="cellIs" dxfId="232" priority="47" operator="greaterThan">
      <formula>1.201</formula>
    </cfRule>
  </conditionalFormatting>
  <conditionalFormatting sqref="G24">
    <cfRule type="cellIs" dxfId="231" priority="38" operator="equal">
      <formula>"* DANGER : Avion hors centrage arrière, INTERDICTION de décoller !"</formula>
    </cfRule>
  </conditionalFormatting>
  <conditionalFormatting sqref="H27">
    <cfRule type="cellIs" dxfId="230" priority="22" operator="equal">
      <formula>"* DANGER : Avion hors centrage arrière, INTERDICTION de décoller !"</formula>
    </cfRule>
  </conditionalFormatting>
  <conditionalFormatting sqref="H9:K9">
    <cfRule type="cellIs" dxfId="229" priority="11" operator="equal">
      <formula>"* Minimum 1 aérodrome de destination"</formula>
    </cfRule>
  </conditionalFormatting>
  <conditionalFormatting sqref="J6">
    <cfRule type="cellIs" dxfId="228" priority="1" operator="equal">
      <formula>"Erreur !"</formula>
    </cfRule>
  </conditionalFormatting>
  <conditionalFormatting sqref="K8">
    <cfRule type="cellIs" dxfId="227" priority="8" operator="lessThanOrEqual">
      <formula>0</formula>
    </cfRule>
  </conditionalFormatting>
  <conditionalFormatting sqref="M15">
    <cfRule type="cellIs" dxfId="226" priority="49" operator="equal">
      <formula>"DANGER - Total carburant insuffisant !"</formula>
    </cfRule>
    <cfRule type="cellIs" dxfId="225" priority="52" operator="equal">
      <formula>"OK - Quantité de carburant suffisante"</formula>
    </cfRule>
  </conditionalFormatting>
  <conditionalFormatting sqref="M21">
    <cfRule type="cellIs" dxfId="224" priority="2" operator="equal">
      <formula>"** Réserve finale de carburant de 45 mn"</formula>
    </cfRule>
    <cfRule type="cellIs" dxfId="223" priority="3" operator="equal">
      <formula>"** Réserve finale de carburant de 30 mn"</formula>
    </cfRule>
  </conditionalFormatting>
  <conditionalFormatting sqref="M13:N13">
    <cfRule type="cellIs" dxfId="222" priority="33" operator="equal">
      <formula>"Capacité carburant Ok !"</formula>
    </cfRule>
    <cfRule type="cellIs" dxfId="221" priority="34" operator="equal">
      <formula>"ERREUR capacité carburant !"</formula>
    </cfRule>
  </conditionalFormatting>
  <conditionalFormatting sqref="N7">
    <cfRule type="cellIs" dxfId="220" priority="50" operator="greaterThan">
      <formula>98</formula>
    </cfRule>
  </conditionalFormatting>
  <conditionalFormatting sqref="N8:N9">
    <cfRule type="cellIs" dxfId="219" priority="6" operator="greaterThan">
      <formula>49</formula>
    </cfRule>
  </conditionalFormatting>
  <conditionalFormatting sqref="N10">
    <cfRule type="cellIs" dxfId="218" priority="37" operator="greaterThan">
      <formula>201</formula>
    </cfRule>
  </conditionalFormatting>
  <conditionalFormatting sqref="N26:N27">
    <cfRule type="cellIs" dxfId="217" priority="13" operator="lessThan">
      <formula>0</formula>
    </cfRule>
  </conditionalFormatting>
  <dataValidations count="1">
    <dataValidation type="list" allowBlank="1" showInputMessage="1" showErrorMessage="1" sqref="N19" xr:uid="{BE39C3E1-FD34-415A-B6B9-8F632A9590F9}">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080D-7FC4-4037-B631-1906DB1BAC37}">
  <sheetPr>
    <tabColor theme="9" tint="-0.499984740745262"/>
    <pageSetUpPr fitToPage="1"/>
  </sheetPr>
  <dimension ref="B1:AL67"/>
  <sheetViews>
    <sheetView showGridLines="0" topLeftCell="C1" zoomScale="85" zoomScaleNormal="85" workbookViewId="0">
      <pane ySplit="3" topLeftCell="A7" activePane="bottomLeft" state="frozenSplit"/>
      <selection activeCell="C3" sqref="C3:E3"/>
      <selection pane="bottomLeft" activeCell="N8" sqref="N8"/>
    </sheetView>
  </sheetViews>
  <sheetFormatPr baseColWidth="10" defaultRowHeight="18.75" x14ac:dyDescent="0.2"/>
  <cols>
    <col min="1" max="1" width="42.7109375" style="1" customWidth="1"/>
    <col min="2" max="2" width="31" style="1" bestFit="1" customWidth="1"/>
    <col min="3" max="6" width="15.7109375" style="24" customWidth="1"/>
    <col min="7" max="7" width="5.7109375" style="1" customWidth="1"/>
    <col min="8" max="8" width="47" style="1" bestFit="1" customWidth="1"/>
    <col min="9" max="11" width="15.7109375" style="1" customWidth="1"/>
    <col min="12" max="12" width="5.7109375" style="1" customWidth="1"/>
    <col min="13" max="13" width="52.140625" style="1" bestFit="1" customWidth="1"/>
    <col min="14" max="14" width="15.7109375" style="24" customWidth="1"/>
    <col min="15" max="15" width="5.7109375" style="59" customWidth="1"/>
    <col min="16" max="16" width="18.140625" style="67" hidden="1" customWidth="1"/>
    <col min="17" max="17" width="14.85546875" style="68" hidden="1" customWidth="1"/>
    <col min="18" max="18" width="35.28515625" style="69" bestFit="1" customWidth="1"/>
    <col min="19" max="20" width="16.7109375" style="69" customWidth="1"/>
    <col min="21" max="21" width="18.5703125" style="69" bestFit="1" customWidth="1"/>
    <col min="22" max="22" width="23.7109375" style="69" customWidth="1"/>
    <col min="23" max="23" width="11.42578125" style="60"/>
    <col min="24" max="26" width="23.7109375" style="34" customWidth="1"/>
    <col min="27" max="38" width="11.42578125" style="34"/>
    <col min="39"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38" s="7" customFormat="1" ht="50.1" customHeight="1" thickBot="1" x14ac:dyDescent="0.25">
      <c r="B1" s="779" t="s">
        <v>248</v>
      </c>
      <c r="C1" s="780"/>
      <c r="D1" s="780"/>
      <c r="E1" s="780"/>
      <c r="F1" s="780"/>
      <c r="G1" s="780"/>
      <c r="H1" s="780"/>
      <c r="I1" s="780"/>
      <c r="J1" s="780"/>
      <c r="K1" s="780"/>
      <c r="L1" s="780"/>
      <c r="M1" s="780"/>
      <c r="N1" s="781"/>
      <c r="O1" s="57"/>
      <c r="P1" s="64"/>
      <c r="Q1" s="65"/>
      <c r="R1" s="66"/>
      <c r="S1" s="66"/>
      <c r="T1" s="66"/>
      <c r="U1" s="66"/>
      <c r="V1" s="66"/>
      <c r="W1" s="58"/>
      <c r="X1" s="33"/>
      <c r="Y1" s="33"/>
      <c r="Z1" s="33"/>
      <c r="AA1" s="33"/>
      <c r="AB1" s="33"/>
      <c r="AC1" s="33"/>
      <c r="AD1" s="33"/>
      <c r="AE1" s="33"/>
      <c r="AF1" s="33"/>
      <c r="AG1" s="33"/>
      <c r="AH1" s="33"/>
      <c r="AI1" s="33"/>
      <c r="AJ1" s="33"/>
      <c r="AK1" s="33"/>
      <c r="AL1" s="33"/>
    </row>
    <row r="2" spans="2:38" ht="24.95" customHeight="1" thickBot="1" x14ac:dyDescent="0.25">
      <c r="B2" s="934" t="s">
        <v>16</v>
      </c>
      <c r="C2" s="934"/>
      <c r="D2" s="935">
        <v>41353</v>
      </c>
      <c r="E2" s="936"/>
      <c r="G2" s="934" t="s">
        <v>35</v>
      </c>
      <c r="H2" s="934"/>
      <c r="I2" s="937">
        <f ca="1">NOW()</f>
        <v>45720.672637847223</v>
      </c>
      <c r="J2" s="937"/>
      <c r="K2" s="8"/>
      <c r="M2" s="866" t="s">
        <v>19</v>
      </c>
      <c r="N2" s="866"/>
    </row>
    <row r="3" spans="2:38" ht="24.95" customHeight="1" thickBot="1" x14ac:dyDescent="0.25">
      <c r="B3" s="867" t="s">
        <v>17</v>
      </c>
      <c r="C3" s="867"/>
      <c r="D3" s="841">
        <v>44981</v>
      </c>
      <c r="E3" s="842"/>
      <c r="F3" s="843"/>
      <c r="H3" s="686" t="s">
        <v>244</v>
      </c>
      <c r="I3" s="844">
        <v>0.73958333333333337</v>
      </c>
      <c r="J3" s="845"/>
      <c r="M3" s="846" t="s">
        <v>172</v>
      </c>
      <c r="N3" s="847"/>
    </row>
    <row r="4" spans="2:38" ht="24.95" customHeight="1" thickBot="1" x14ac:dyDescent="0.25">
      <c r="B4" s="23"/>
      <c r="C4" s="23"/>
      <c r="M4" s="848">
        <f>IF((Capacité_carburant_Max_03-Carburant_utilisable_03)&gt;0,Capacité_carburant_Max_03-Carburant_utilisable_03,"Tout le carburant est utilisable.")</f>
        <v>11</v>
      </c>
      <c r="N4" s="848"/>
      <c r="R4" s="45" t="s">
        <v>142</v>
      </c>
      <c r="S4" s="10"/>
      <c r="T4" s="46"/>
      <c r="U4" s="587"/>
      <c r="V4" s="587"/>
    </row>
    <row r="5" spans="2:38" ht="24.95" customHeight="1" thickBot="1" x14ac:dyDescent="0.25">
      <c r="C5" s="931" t="s">
        <v>50</v>
      </c>
      <c r="D5" s="932"/>
      <c r="E5" s="932"/>
      <c r="F5" s="933"/>
      <c r="H5" s="804" t="str">
        <f>UPPER("02-Données du vol")</f>
        <v>02-DONNÉES DU VOL</v>
      </c>
      <c r="I5" s="805"/>
      <c r="J5" s="671"/>
      <c r="K5" s="670"/>
      <c r="L5" s="2"/>
      <c r="M5" s="917" t="s">
        <v>42</v>
      </c>
      <c r="N5" s="918"/>
      <c r="O5" s="62"/>
      <c r="P5" s="67" t="s">
        <v>14</v>
      </c>
      <c r="R5" s="46" t="s">
        <v>100</v>
      </c>
      <c r="S5" s="48">
        <f>C19</f>
        <v>0</v>
      </c>
      <c r="T5" s="10">
        <v>356</v>
      </c>
      <c r="U5" s="14"/>
      <c r="V5" s="14"/>
    </row>
    <row r="6" spans="2:38" s="2" customFormat="1" ht="39" customHeight="1" thickTop="1" thickBot="1" x14ac:dyDescent="0.25">
      <c r="B6" s="4"/>
      <c r="C6" s="369" t="s">
        <v>0</v>
      </c>
      <c r="D6" s="370" t="s">
        <v>11</v>
      </c>
      <c r="E6" s="370" t="s">
        <v>10</v>
      </c>
      <c r="F6" s="371" t="s">
        <v>9</v>
      </c>
      <c r="H6" s="929" t="s">
        <v>147</v>
      </c>
      <c r="I6" s="930"/>
      <c r="J6" s="813" t="str">
        <f>IF(Durée_Totale_Vol_03&gt;Q12,"Erreur !",TEXT(Q13,"#0")&amp;" h et "&amp;TEXT(Q14,"#0")&amp;" mn")</f>
        <v>3 h et 0 mn</v>
      </c>
      <c r="K6" s="814"/>
      <c r="L6" s="1"/>
      <c r="M6" s="217" t="s">
        <v>118</v>
      </c>
      <c r="N6" s="218">
        <v>0.72</v>
      </c>
      <c r="O6" s="298"/>
      <c r="P6" s="71" t="s">
        <v>15</v>
      </c>
      <c r="Q6" s="72"/>
      <c r="R6" s="46" t="s">
        <v>101</v>
      </c>
      <c r="S6" s="48">
        <f>D7</f>
        <v>769</v>
      </c>
      <c r="T6" s="10">
        <v>356</v>
      </c>
      <c r="U6" s="596"/>
      <c r="V6" s="596"/>
      <c r="W6" s="61"/>
      <c r="X6" s="36"/>
      <c r="Y6" s="36"/>
      <c r="Z6" s="36"/>
      <c r="AA6" s="36"/>
      <c r="AB6" s="36"/>
      <c r="AC6" s="36"/>
      <c r="AD6" s="36"/>
      <c r="AE6" s="36"/>
      <c r="AF6" s="36"/>
      <c r="AG6" s="36"/>
      <c r="AH6" s="36"/>
      <c r="AI6" s="36"/>
      <c r="AJ6" s="36"/>
      <c r="AK6" s="36"/>
      <c r="AL6" s="36"/>
    </row>
    <row r="7" spans="2:38" ht="24.95" customHeight="1" thickBot="1" x14ac:dyDescent="0.25">
      <c r="B7" s="272" t="s">
        <v>1</v>
      </c>
      <c r="C7" s="362"/>
      <c r="D7" s="196">
        <v>769</v>
      </c>
      <c r="E7" s="367">
        <v>0.98699999999999999</v>
      </c>
      <c r="F7" s="368">
        <f t="shared" ref="F7:F12" si="0">E7*D7</f>
        <v>759.00300000000004</v>
      </c>
      <c r="H7" s="925" t="s">
        <v>21</v>
      </c>
      <c r="I7" s="926"/>
      <c r="J7" s="926"/>
      <c r="K7" s="342">
        <v>60</v>
      </c>
      <c r="M7" s="212" t="s">
        <v>53</v>
      </c>
      <c r="N7" s="614">
        <f>Carburant_Aile_Droite_03+Carburant_Aile_Gauche_03</f>
        <v>120</v>
      </c>
      <c r="R7" s="849" t="str">
        <f>UPPER("Moment à l'atterrissage")</f>
        <v>MOMENT À L'ATTERRISSAGE</v>
      </c>
      <c r="S7" s="850"/>
      <c r="T7" s="131" t="s">
        <v>106</v>
      </c>
      <c r="U7" s="131" t="s">
        <v>105</v>
      </c>
      <c r="V7" s="132" t="s">
        <v>107</v>
      </c>
    </row>
    <row r="8" spans="2:38" ht="24.95" customHeight="1" thickBot="1" x14ac:dyDescent="0.25">
      <c r="B8" s="273" t="s">
        <v>4</v>
      </c>
      <c r="C8" s="364"/>
      <c r="D8" s="197">
        <v>105</v>
      </c>
      <c r="E8" s="188">
        <v>0.94</v>
      </c>
      <c r="F8" s="189">
        <f t="shared" si="0"/>
        <v>98.699999999999989</v>
      </c>
      <c r="H8" s="927" t="s">
        <v>22</v>
      </c>
      <c r="I8" s="928"/>
      <c r="J8" s="928"/>
      <c r="K8" s="123">
        <v>1</v>
      </c>
      <c r="M8" s="222" t="s">
        <v>163</v>
      </c>
      <c r="N8" s="600">
        <v>60</v>
      </c>
      <c r="R8" s="154" t="s">
        <v>1</v>
      </c>
      <c r="S8" s="155"/>
      <c r="T8" s="156">
        <f>Masse_à_vide_03</f>
        <v>769</v>
      </c>
      <c r="U8" s="157">
        <f>E7</f>
        <v>0.98699999999999999</v>
      </c>
      <c r="V8" s="158">
        <f>T8*U8</f>
        <v>759.00300000000004</v>
      </c>
    </row>
    <row r="9" spans="2:38" ht="24.95" customHeight="1" thickBot="1" x14ac:dyDescent="0.25">
      <c r="B9" s="273" t="s">
        <v>5</v>
      </c>
      <c r="C9" s="364"/>
      <c r="D9" s="198">
        <v>85</v>
      </c>
      <c r="E9" s="188">
        <v>0.94</v>
      </c>
      <c r="F9" s="189">
        <f t="shared" si="0"/>
        <v>79.899999999999991</v>
      </c>
      <c r="H9" s="787" t="str">
        <f>IF(Nbre_Aérodromes_03&lt;=0,"* Minimum 1 aérodrome de destination","")</f>
        <v/>
      </c>
      <c r="I9" s="787"/>
      <c r="J9" s="787"/>
      <c r="K9" s="787"/>
      <c r="M9" s="222" t="s">
        <v>164</v>
      </c>
      <c r="N9" s="601">
        <v>60</v>
      </c>
      <c r="P9" s="70" t="s">
        <v>94</v>
      </c>
      <c r="R9" s="159" t="s">
        <v>159</v>
      </c>
      <c r="S9" s="160"/>
      <c r="T9" s="161">
        <f>D8+D9</f>
        <v>190</v>
      </c>
      <c r="U9" s="162">
        <f>E8</f>
        <v>0.94</v>
      </c>
      <c r="V9" s="163">
        <f>T9*U9</f>
        <v>178.6</v>
      </c>
    </row>
    <row r="10" spans="2:38" ht="24.95" customHeight="1" thickBot="1" x14ac:dyDescent="0.25">
      <c r="B10" s="273" t="s">
        <v>6</v>
      </c>
      <c r="C10" s="364"/>
      <c r="D10" s="198">
        <v>75</v>
      </c>
      <c r="E10" s="188">
        <v>1.8540000000000001</v>
      </c>
      <c r="F10" s="189">
        <f t="shared" si="0"/>
        <v>139.05000000000001</v>
      </c>
      <c r="H10" s="832" t="str">
        <f>UPPER("Génération du graphique")</f>
        <v>GÉNÉRATION DU GRAPHIQUE</v>
      </c>
      <c r="I10" s="833"/>
      <c r="J10" s="833"/>
      <c r="K10" s="834"/>
      <c r="M10" s="212" t="s">
        <v>51</v>
      </c>
      <c r="N10" s="615">
        <f>N7-11</f>
        <v>109</v>
      </c>
      <c r="P10" s="67" t="s">
        <v>24</v>
      </c>
      <c r="Q10" s="73">
        <f>Consommation_minute_03</f>
        <v>0.60499999999999998</v>
      </c>
      <c r="R10" s="159" t="s">
        <v>160</v>
      </c>
      <c r="S10" s="160"/>
      <c r="T10" s="161">
        <f>D10+D11</f>
        <v>75</v>
      </c>
      <c r="U10" s="162">
        <f>E10</f>
        <v>1.8540000000000001</v>
      </c>
      <c r="V10" s="163">
        <f>T10*U10</f>
        <v>139.05000000000001</v>
      </c>
    </row>
    <row r="11" spans="2:38" ht="24.95" customHeight="1" thickBot="1" x14ac:dyDescent="0.25">
      <c r="B11" s="273" t="s">
        <v>7</v>
      </c>
      <c r="C11" s="364"/>
      <c r="D11" s="198"/>
      <c r="E11" s="188">
        <v>1.8540000000000001</v>
      </c>
      <c r="F11" s="189">
        <f t="shared" si="0"/>
        <v>0</v>
      </c>
      <c r="H11" s="923" t="s">
        <v>58</v>
      </c>
      <c r="I11" s="924"/>
      <c r="J11" s="284" t="s">
        <v>2</v>
      </c>
      <c r="K11" s="285" t="s">
        <v>119</v>
      </c>
      <c r="M11" s="212" t="s">
        <v>54</v>
      </c>
      <c r="N11" s="219">
        <v>36.299999999999997</v>
      </c>
      <c r="P11" s="67" t="s">
        <v>25</v>
      </c>
      <c r="Q11" s="68">
        <f>IF(Carburant_Bloc_03&gt;Carburant_utilisable_03,Carburant_utilisable_03-(Carburant_Bloc_03-Carburant_utilisable_03),Carburant_utilisable_03)</f>
        <v>109</v>
      </c>
      <c r="R11" s="159" t="s">
        <v>80</v>
      </c>
      <c r="S11" s="160"/>
      <c r="T11" s="161">
        <f>Bagages_03</f>
        <v>10</v>
      </c>
      <c r="U11" s="162">
        <f>E12</f>
        <v>2.4129999999999998</v>
      </c>
      <c r="V11" s="163">
        <f>T11*U11</f>
        <v>24.13</v>
      </c>
    </row>
    <row r="12" spans="2:38" ht="24.95" customHeight="1" thickBot="1" x14ac:dyDescent="0.25">
      <c r="B12" s="273" t="s">
        <v>55</v>
      </c>
      <c r="C12" s="364"/>
      <c r="D12" s="199">
        <v>10</v>
      </c>
      <c r="E12" s="188">
        <v>2.4129999999999998</v>
      </c>
      <c r="F12" s="189">
        <f t="shared" si="0"/>
        <v>24.13</v>
      </c>
      <c r="H12" s="915" t="s">
        <v>86</v>
      </c>
      <c r="I12" s="916"/>
      <c r="J12" s="286">
        <f>J20*K20</f>
        <v>683.64099999999996</v>
      </c>
      <c r="K12" s="287">
        <f>Masse_à_vide_03</f>
        <v>769</v>
      </c>
      <c r="M12" s="220" t="s">
        <v>8</v>
      </c>
      <c r="N12" s="221">
        <f>N11/60</f>
        <v>0.60499999999999998</v>
      </c>
      <c r="P12" s="67" t="s">
        <v>26</v>
      </c>
      <c r="Q12" s="75">
        <f>Q11/Q10</f>
        <v>180.16528925619835</v>
      </c>
      <c r="R12" s="175" t="s">
        <v>57</v>
      </c>
      <c r="S12" s="623">
        <f>IF(Carburant_Bloc_03&gt;(Carburant_Aile_Droite_03+Carburant_Aile_Gauche_03),0,(Carburant_Aile_Droite_03+Carburant_Aile_Gauche_03)-Carburant_Bloc_03)</f>
        <v>44.375000000000014</v>
      </c>
      <c r="T12" s="176">
        <f>S12*Densité_Carburant_03</f>
        <v>31.95000000000001</v>
      </c>
      <c r="U12" s="177">
        <f>E14</f>
        <v>1.2130000000000001</v>
      </c>
      <c r="V12" s="178">
        <f>T12*U12</f>
        <v>38.755350000000014</v>
      </c>
    </row>
    <row r="13" spans="2:38" ht="24.95" customHeight="1" thickBot="1" x14ac:dyDescent="0.25">
      <c r="B13" s="273" t="s">
        <v>56</v>
      </c>
      <c r="C13" s="364"/>
      <c r="D13" s="196">
        <f>SUM(D7:D12)</f>
        <v>1044</v>
      </c>
      <c r="E13" s="190">
        <f>F13/D13</f>
        <v>1.0543898467432951</v>
      </c>
      <c r="F13" s="189">
        <f>SUM(F7:F12)</f>
        <v>1100.7830000000001</v>
      </c>
      <c r="H13" s="898" t="s">
        <v>81</v>
      </c>
      <c r="I13" s="899"/>
      <c r="J13" s="288">
        <f>J21*K21</f>
        <v>786.76499999999999</v>
      </c>
      <c r="K13" s="289">
        <v>885</v>
      </c>
      <c r="M13" s="877" t="str">
        <f>IF(Capacité_carburant_Max_03&gt;212,"ERREUR capacité carburant !","Capacité carburant Ok !")</f>
        <v>Capacité carburant Ok !</v>
      </c>
      <c r="N13" s="878"/>
      <c r="P13" s="67" t="s">
        <v>27</v>
      </c>
      <c r="Q13" s="68">
        <f>ROUNDDOWN(Q12/60,0)</f>
        <v>3</v>
      </c>
      <c r="R13" s="313" t="s">
        <v>161</v>
      </c>
      <c r="S13" s="613">
        <f>SUM(S12)</f>
        <v>44.375000000000014</v>
      </c>
      <c r="T13" s="314">
        <f>SUM(T8:T12)</f>
        <v>1075.95</v>
      </c>
      <c r="U13" s="315">
        <f>Moment_Atterrissage_03/Masse_Atterrissage_03</f>
        <v>1.0590997258236907</v>
      </c>
      <c r="V13" s="316">
        <f>SUM(V8:V12)</f>
        <v>1139.53835</v>
      </c>
    </row>
    <row r="14" spans="2:38" ht="24.95" customHeight="1" thickBot="1" x14ac:dyDescent="0.25">
      <c r="B14" s="274" t="s">
        <v>57</v>
      </c>
      <c r="C14" s="275">
        <f>N8+N9</f>
        <v>120</v>
      </c>
      <c r="D14" s="276">
        <f>Densité_Carburant_03*C14</f>
        <v>86.399999999999991</v>
      </c>
      <c r="E14" s="277">
        <v>1.2130000000000001</v>
      </c>
      <c r="F14" s="278">
        <f>E14*D14</f>
        <v>104.80319999999999</v>
      </c>
      <c r="H14" s="903" t="s">
        <v>82</v>
      </c>
      <c r="I14" s="904"/>
      <c r="J14" s="290">
        <f>J22*K22</f>
        <v>1204.4369999999999</v>
      </c>
      <c r="K14" s="289">
        <f>Masse_Max_Décollage_03</f>
        <v>1157</v>
      </c>
      <c r="M14" s="917" t="str">
        <f>UPPER("Carburant Exploit. générale")</f>
        <v>CARBURANT EXPLOIT. GÉNÉRALE</v>
      </c>
      <c r="N14" s="918"/>
      <c r="O14" s="580"/>
      <c r="P14" s="10" t="s">
        <v>28</v>
      </c>
      <c r="Q14" s="692">
        <f>Q12-(Q13*60)</f>
        <v>0.16528925619834922</v>
      </c>
      <c r="R14" s="851" t="str">
        <f>IF(S12=Réserve_Finale_03,"Le carburant restant dans le réservoir principal correspond à la réserve finale","")</f>
        <v/>
      </c>
      <c r="S14" s="851"/>
      <c r="T14" s="851"/>
      <c r="U14" s="851"/>
      <c r="V14" s="851"/>
      <c r="W14" s="49"/>
      <c r="X14" s="10"/>
    </row>
    <row r="15" spans="2:38" ht="24.95" customHeight="1" thickBot="1" x14ac:dyDescent="0.25">
      <c r="B15" s="305" t="s">
        <v>12</v>
      </c>
      <c r="C15" s="306">
        <f>SUM(C14:C14)</f>
        <v>120</v>
      </c>
      <c r="D15" s="307">
        <f>D13+D14</f>
        <v>1130.4000000000001</v>
      </c>
      <c r="E15" s="307">
        <f>Moment_Décollage_03/Masse_Décollage_03</f>
        <v>1.0665129157820241</v>
      </c>
      <c r="F15" s="308">
        <f>F13+F14</f>
        <v>1205.5862000000002</v>
      </c>
      <c r="H15" s="898" t="s">
        <v>83</v>
      </c>
      <c r="I15" s="899"/>
      <c r="J15" s="288">
        <f>J23*K23</f>
        <v>1389.557</v>
      </c>
      <c r="K15" s="289">
        <f>Masse_Max_Décollage_03</f>
        <v>1157</v>
      </c>
      <c r="M15" s="919" t="str">
        <f>IF(Carburant_Bloc_03&gt;Carburant_utilisable_03,"DANGER - Total carburant insuffisant !","OK - Quantité de carburant suffisante")</f>
        <v>OK - Quantité de carburant suffisante</v>
      </c>
      <c r="N15" s="920"/>
      <c r="O15" s="689"/>
      <c r="P15" s="693"/>
      <c r="Q15" s="694"/>
      <c r="R15" s="581"/>
      <c r="S15" s="580" t="s">
        <v>236</v>
      </c>
      <c r="T15" s="580" t="s">
        <v>33</v>
      </c>
      <c r="U15" s="580" t="s">
        <v>241</v>
      </c>
      <c r="V15" s="580" t="s">
        <v>234</v>
      </c>
      <c r="W15" s="580" t="s">
        <v>233</v>
      </c>
      <c r="X15" s="580" t="s">
        <v>235</v>
      </c>
      <c r="Y15" s="580" t="s">
        <v>237</v>
      </c>
      <c r="Z15" s="580" t="s">
        <v>240</v>
      </c>
    </row>
    <row r="16" spans="2:38" ht="24.95" customHeight="1" thickBot="1" x14ac:dyDescent="0.25">
      <c r="B16" s="792" t="str">
        <f>IF(C15&gt;212,"* ATTENTION ! Le total carburant est supérieur à la capacité totale !","")</f>
        <v/>
      </c>
      <c r="C16" s="792"/>
      <c r="D16" s="792"/>
      <c r="E16" s="792"/>
      <c r="F16" s="792"/>
      <c r="H16" s="909" t="s">
        <v>84</v>
      </c>
      <c r="I16" s="910"/>
      <c r="J16" s="291">
        <f>J24*K24</f>
        <v>923.56900000000007</v>
      </c>
      <c r="K16" s="292">
        <f>Masse_à_vide_03</f>
        <v>769</v>
      </c>
      <c r="M16" s="212" t="s">
        <v>102</v>
      </c>
      <c r="N16" s="219">
        <f>Durée_Totale_Vol_03*Consommation_minute_03</f>
        <v>36.299999999999997</v>
      </c>
      <c r="O16" s="25"/>
      <c r="P16" s="10"/>
      <c r="Q16" s="13"/>
      <c r="R16" s="581" t="s">
        <v>242</v>
      </c>
      <c r="S16" s="582">
        <f>106</f>
        <v>106</v>
      </c>
      <c r="T16" s="579">
        <f>Carburant_Aile_Droite_03</f>
        <v>60</v>
      </c>
      <c r="U16" s="599">
        <f>T16/3.78541</f>
        <v>15.850330611479338</v>
      </c>
      <c r="V16" s="583">
        <f>1-W16</f>
        <v>0.43396226415094341</v>
      </c>
      <c r="W16" s="583">
        <f>T16/S16</f>
        <v>0.56603773584905659</v>
      </c>
      <c r="X16" s="584">
        <v>0.2</v>
      </c>
      <c r="Y16" s="584">
        <v>0.2</v>
      </c>
      <c r="Z16" s="584">
        <v>0.2</v>
      </c>
    </row>
    <row r="17" spans="2:26" ht="24.95" customHeight="1" x14ac:dyDescent="0.2">
      <c r="B17" s="15"/>
      <c r="D17" s="799" t="str">
        <f>UPPER("Masse Totale :")</f>
        <v>MASSE TOTALE :</v>
      </c>
      <c r="E17" s="800"/>
      <c r="F17" s="554">
        <f>IF(Masse_Décollage_03&gt;Masse_Max_Décollage_03,"DANGER",Masse_Décollage_03)</f>
        <v>1130.4000000000001</v>
      </c>
      <c r="H17" s="293" t="s">
        <v>113</v>
      </c>
      <c r="I17" s="286">
        <f>Moment_Décollage_03</f>
        <v>1205.5862000000002</v>
      </c>
      <c r="J17" s="286">
        <f>I17/K17</f>
        <v>1.0665129157820241</v>
      </c>
      <c r="K17" s="555">
        <f>Masse_Décollage_03</f>
        <v>1130.4000000000001</v>
      </c>
      <c r="M17" s="212" t="s">
        <v>103</v>
      </c>
      <c r="N17" s="219">
        <f>Nbre_Aérodromes_03*(Consommation_minute_03*10)</f>
        <v>6.05</v>
      </c>
      <c r="O17" s="25"/>
      <c r="P17" s="695" t="s">
        <v>141</v>
      </c>
      <c r="Q17" s="13"/>
      <c r="R17" s="581"/>
      <c r="S17" s="580" t="s">
        <v>236</v>
      </c>
      <c r="T17" s="580" t="s">
        <v>33</v>
      </c>
      <c r="U17" s="599"/>
      <c r="V17" s="580" t="s">
        <v>234</v>
      </c>
      <c r="W17" s="580" t="s">
        <v>233</v>
      </c>
      <c r="X17" s="580" t="s">
        <v>235</v>
      </c>
      <c r="Y17" s="580" t="s">
        <v>237</v>
      </c>
      <c r="Z17" s="580" t="s">
        <v>240</v>
      </c>
    </row>
    <row r="18" spans="2:26" ht="24.95" customHeight="1" thickBot="1" x14ac:dyDescent="0.25">
      <c r="B18" s="3"/>
      <c r="D18" s="788" t="str">
        <f>UPPER("Bras de levier :")</f>
        <v>BRAS DE LEVIER :</v>
      </c>
      <c r="E18" s="789"/>
      <c r="F18" s="319">
        <f>IF(Moment_Décollage_03/Masse_Décollage_03&gt;1.201,"DANGER",Moment_Décollage_03/Masse_Décollage_03)</f>
        <v>1.0665129157820241</v>
      </c>
      <c r="H18" s="294" t="s">
        <v>114</v>
      </c>
      <c r="I18" s="295">
        <f>Moment_Atterrissage_03</f>
        <v>1139.53835</v>
      </c>
      <c r="J18" s="295">
        <f>I18/K18</f>
        <v>1.0590997258236907</v>
      </c>
      <c r="K18" s="556">
        <f>Masse_Atterrissage_03</f>
        <v>1075.95</v>
      </c>
      <c r="M18" s="213" t="s">
        <v>143</v>
      </c>
      <c r="N18" s="219">
        <f>SUM(N16:N17)</f>
        <v>42.349999999999994</v>
      </c>
      <c r="O18" s="25"/>
      <c r="P18" s="10" t="s">
        <v>122</v>
      </c>
      <c r="Q18" s="690">
        <f>Carburant_Bloc_03/Durée_Totale_Vol_03</f>
        <v>1.2604166666666665</v>
      </c>
      <c r="R18" s="581" t="s">
        <v>243</v>
      </c>
      <c r="S18" s="582">
        <v>106</v>
      </c>
      <c r="T18" s="579">
        <f>Carburant_Aile_Gauche_03</f>
        <v>60</v>
      </c>
      <c r="U18" s="599">
        <f>T18/3.78541</f>
        <v>15.850330611479338</v>
      </c>
      <c r="V18" s="583">
        <f>1-W18</f>
        <v>0.43396226415094341</v>
      </c>
      <c r="W18" s="583">
        <f>T18/S18</f>
        <v>0.56603773584905659</v>
      </c>
      <c r="X18" s="584">
        <v>0.2</v>
      </c>
      <c r="Y18" s="584">
        <v>0.2</v>
      </c>
      <c r="Z18" s="584">
        <v>0.2</v>
      </c>
    </row>
    <row r="19" spans="2:26" ht="24.95" customHeight="1" thickBot="1" x14ac:dyDescent="0.25">
      <c r="B19" s="792" t="str">
        <f>IF(Masse_Décollage_03&gt;Masse_Max_Décollage_03,"* ATTENTION ! La masse max au décollage est dépassée !","")</f>
        <v/>
      </c>
      <c r="C19" s="792"/>
      <c r="D19" s="792"/>
      <c r="E19" s="792"/>
      <c r="F19" s="792"/>
      <c r="H19" s="921" t="s">
        <v>59</v>
      </c>
      <c r="I19" s="922"/>
      <c r="J19" s="296" t="s">
        <v>120</v>
      </c>
      <c r="K19" s="297" t="s">
        <v>119</v>
      </c>
      <c r="M19" s="212" t="s">
        <v>43</v>
      </c>
      <c r="N19" s="304" t="s">
        <v>15</v>
      </c>
      <c r="O19" s="25"/>
      <c r="P19" s="10" t="s">
        <v>25</v>
      </c>
      <c r="Q19" s="13">
        <f>Q11</f>
        <v>109</v>
      </c>
      <c r="R19" s="581"/>
      <c r="S19" s="579">
        <f>Capacité_carburant_Max_03-Carburant_utilisable_03</f>
        <v>11</v>
      </c>
      <c r="T19" s="599">
        <f>S19/3.78541</f>
        <v>2.9058939454378785</v>
      </c>
      <c r="U19" s="597"/>
      <c r="V19" s="49"/>
      <c r="W19" s="49"/>
      <c r="X19" s="49"/>
      <c r="Y19" s="49"/>
      <c r="Z19" s="49"/>
    </row>
    <row r="20" spans="2:26" ht="24.95" customHeight="1" thickBot="1" x14ac:dyDescent="0.25">
      <c r="B20" s="900" t="s">
        <v>30</v>
      </c>
      <c r="C20" s="901"/>
      <c r="D20" s="901"/>
      <c r="E20" s="901"/>
      <c r="F20" s="902"/>
      <c r="H20" s="915" t="s">
        <v>86</v>
      </c>
      <c r="I20" s="916"/>
      <c r="J20" s="286">
        <v>0.88900000000000001</v>
      </c>
      <c r="K20" s="287">
        <f>Masse_à_vide_03</f>
        <v>769</v>
      </c>
      <c r="M20" s="212" t="s">
        <v>144</v>
      </c>
      <c r="N20" s="219">
        <f>IF(Durée_Totale_Vol_03&gt;0,IF(N19="Jour",Consommation_minute_03*30,Consommation_minute_03*45),0)</f>
        <v>27.224999999999998</v>
      </c>
      <c r="O20" s="25"/>
      <c r="P20" s="10" t="s">
        <v>26</v>
      </c>
      <c r="Q20" s="692">
        <f>Q19/Q18</f>
        <v>86.47933884297521</v>
      </c>
      <c r="R20" s="49"/>
      <c r="S20" s="49"/>
      <c r="T20" s="49"/>
      <c r="U20" s="49"/>
      <c r="V20" s="49"/>
      <c r="W20" s="49"/>
      <c r="X20" s="49"/>
      <c r="Y20" s="49"/>
      <c r="Z20" s="49"/>
    </row>
    <row r="21" spans="2:26" ht="24.95" customHeight="1" thickBot="1" x14ac:dyDescent="0.25">
      <c r="B21" s="913" t="s">
        <v>87</v>
      </c>
      <c r="C21" s="914"/>
      <c r="D21" s="279" t="s">
        <v>33</v>
      </c>
      <c r="E21" s="905" t="s">
        <v>34</v>
      </c>
      <c r="F21" s="906"/>
      <c r="H21" s="898" t="s">
        <v>81</v>
      </c>
      <c r="I21" s="899"/>
      <c r="J21" s="288">
        <v>0.88900000000000001</v>
      </c>
      <c r="K21" s="289">
        <v>885</v>
      </c>
      <c r="M21" s="819" t="str">
        <f>IF(N19="Jour","** Réserve finale de carburant de 30 mn","** Réserve finale de carburant de 45 mn")</f>
        <v>** Réserve finale de carburant de 45 mn</v>
      </c>
      <c r="N21" s="820"/>
      <c r="O21" s="586"/>
      <c r="P21" s="14" t="s">
        <v>27</v>
      </c>
      <c r="Q21" s="592">
        <f>ROUNDDOWN(Q20/60,0)</f>
        <v>1</v>
      </c>
      <c r="R21" s="587"/>
      <c r="S21" s="587"/>
      <c r="T21" s="587"/>
      <c r="U21" s="587"/>
      <c r="V21" s="587"/>
      <c r="W21" s="587"/>
    </row>
    <row r="22" spans="2:26" ht="24.95" customHeight="1" x14ac:dyDescent="0.2">
      <c r="B22" s="280" t="s">
        <v>31</v>
      </c>
      <c r="C22" s="281">
        <v>1157</v>
      </c>
      <c r="D22" s="281">
        <f>Masse_Décollage_03</f>
        <v>1130.4000000000001</v>
      </c>
      <c r="E22" s="907" t="str">
        <f>IF(D22&lt;=C22,"Ok !","DANGER !")</f>
        <v>Ok !</v>
      </c>
      <c r="F22" s="908"/>
      <c r="H22" s="903" t="s">
        <v>82</v>
      </c>
      <c r="I22" s="904"/>
      <c r="J22" s="290">
        <v>1.0409999999999999</v>
      </c>
      <c r="K22" s="289">
        <f>Masse_Max_Décollage_03</f>
        <v>1157</v>
      </c>
      <c r="M22" s="212" t="s">
        <v>145</v>
      </c>
      <c r="N22" s="219">
        <f>(Consommation_horaire_03/60)*10</f>
        <v>6.05</v>
      </c>
      <c r="O22" s="588"/>
      <c r="P22" s="14" t="s">
        <v>28</v>
      </c>
      <c r="Q22" s="592">
        <f>Q20-(Q21*60)</f>
        <v>26.47933884297521</v>
      </c>
      <c r="R22" s="587"/>
      <c r="S22" s="587"/>
      <c r="T22" s="587"/>
      <c r="U22" s="587"/>
      <c r="V22" s="587"/>
      <c r="W22" s="587"/>
    </row>
    <row r="23" spans="2:26" ht="24.95" customHeight="1" thickBot="1" x14ac:dyDescent="0.25">
      <c r="B23" s="282" t="s">
        <v>32</v>
      </c>
      <c r="C23" s="283">
        <v>1157</v>
      </c>
      <c r="D23" s="283">
        <f>Masse_Atterrissage_03</f>
        <v>1075.95</v>
      </c>
      <c r="E23" s="911" t="str">
        <f>IF(D23&lt;=C23,"Ok !","DANGER !")</f>
        <v>Ok !</v>
      </c>
      <c r="F23" s="912"/>
      <c r="H23" s="898" t="s">
        <v>83</v>
      </c>
      <c r="I23" s="899"/>
      <c r="J23" s="288">
        <v>1.2010000000000001</v>
      </c>
      <c r="K23" s="289">
        <f>Masse_Max_Décollage_03</f>
        <v>1157</v>
      </c>
      <c r="M23" s="300" t="s">
        <v>254</v>
      </c>
      <c r="N23" s="299">
        <f>((Délestage_03+Carburant_Roulage_03)-Carburant_Destination_03)/Carburant_Destination_03</f>
        <v>0.3333333333333332</v>
      </c>
      <c r="O23" s="586"/>
      <c r="P23" s="14"/>
      <c r="Q23" s="18"/>
      <c r="R23" s="587"/>
      <c r="S23" s="587"/>
      <c r="T23" s="587"/>
      <c r="U23" s="587"/>
      <c r="V23" s="587"/>
      <c r="W23" s="587"/>
    </row>
    <row r="24" spans="2:26" ht="24.75" customHeight="1" thickBot="1" x14ac:dyDescent="0.25">
      <c r="B24" s="10" t="s">
        <v>74</v>
      </c>
      <c r="C24" s="13"/>
      <c r="D24" s="29">
        <f>C22-D22</f>
        <v>26.599999999999909</v>
      </c>
      <c r="H24" s="909" t="s">
        <v>84</v>
      </c>
      <c r="I24" s="910"/>
      <c r="J24" s="291">
        <v>1.2010000000000001</v>
      </c>
      <c r="K24" s="292">
        <f>Masse_à_vide_03</f>
        <v>769</v>
      </c>
      <c r="M24" s="301" t="str">
        <f>UPPER("Carburant au bloc :")</f>
        <v>CARBURANT AU BLOC :</v>
      </c>
      <c r="N24" s="620">
        <f>Délestage_03+Réserve_Finale_03+Carburant_Roulage_03</f>
        <v>75.624999999999986</v>
      </c>
      <c r="O24" s="590"/>
      <c r="P24" s="595" t="s">
        <v>93</v>
      </c>
      <c r="Q24" s="14"/>
      <c r="R24" s="587"/>
      <c r="S24" s="587"/>
      <c r="T24" s="587"/>
      <c r="U24" s="587"/>
      <c r="V24" s="587"/>
      <c r="W24" s="587"/>
    </row>
    <row r="25" spans="2:26" ht="24.95" customHeight="1" x14ac:dyDescent="0.2">
      <c r="H25" s="293" t="s">
        <v>115</v>
      </c>
      <c r="I25" s="286">
        <f>Moment_Décollage_03</f>
        <v>1205.5862000000002</v>
      </c>
      <c r="J25" s="286">
        <f>E15</f>
        <v>1.0665129157820241</v>
      </c>
      <c r="K25" s="555">
        <f>I25/J25</f>
        <v>1130.4000000000001</v>
      </c>
      <c r="M25" s="293" t="s">
        <v>139</v>
      </c>
      <c r="N25" s="621">
        <f>((Carburant_Bloc_03)/Durée_Totale_Vol_03)*60</f>
        <v>75.624999999999986</v>
      </c>
      <c r="O25" s="14"/>
      <c r="P25" s="14" t="s">
        <v>89</v>
      </c>
      <c r="Q25" s="591">
        <f>Masse_Décollage_03</f>
        <v>1130.4000000000001</v>
      </c>
      <c r="R25" s="587"/>
      <c r="S25" s="587"/>
      <c r="T25" s="587"/>
      <c r="U25" s="587"/>
      <c r="V25" s="587"/>
      <c r="W25" s="587"/>
    </row>
    <row r="26" spans="2:26" ht="24.95" customHeight="1" thickBot="1" x14ac:dyDescent="0.25">
      <c r="H26" s="294" t="s">
        <v>116</v>
      </c>
      <c r="I26" s="295">
        <f>Moment_Atterrissage_03</f>
        <v>1139.53835</v>
      </c>
      <c r="J26" s="295">
        <f>U13</f>
        <v>1.0590997258236907</v>
      </c>
      <c r="K26" s="556">
        <f>I26/J26</f>
        <v>1075.95</v>
      </c>
      <c r="M26" s="303" t="s">
        <v>148</v>
      </c>
      <c r="N26" s="219">
        <f>(Capacité_carburant_Max_03)-Carburant_Bloc_03</f>
        <v>44.375000000000014</v>
      </c>
      <c r="O26" s="588"/>
      <c r="P26" s="14" t="s">
        <v>90</v>
      </c>
      <c r="Q26" s="591">
        <f>Masse_Atterrissage_03</f>
        <v>1075.95</v>
      </c>
      <c r="R26" s="587"/>
      <c r="S26" s="587"/>
      <c r="T26" s="587"/>
      <c r="U26" s="587"/>
      <c r="V26" s="587"/>
      <c r="W26" s="587"/>
    </row>
    <row r="27" spans="2:26" ht="24.95" customHeight="1" thickBot="1" x14ac:dyDescent="0.25">
      <c r="H27" s="792" t="str">
        <f>IF(Moment_Décollage_03&gt;1389.557,"* DANGER : Avion hors centrage arrière, INTERDICTION de décoller !","")</f>
        <v/>
      </c>
      <c r="I27" s="792"/>
      <c r="J27" s="792"/>
      <c r="K27" s="792"/>
      <c r="L27" s="12"/>
      <c r="M27" s="262" t="s">
        <v>263</v>
      </c>
      <c r="N27" s="622">
        <f>(Carburant_utilisable_03)-Carburant_Bloc_03</f>
        <v>33.375000000000014</v>
      </c>
      <c r="O27" s="588"/>
      <c r="P27" s="14"/>
      <c r="Q27" s="18"/>
      <c r="R27" s="587"/>
      <c r="S27" s="587"/>
      <c r="T27" s="587"/>
      <c r="U27" s="587"/>
      <c r="V27" s="587"/>
      <c r="W27" s="587"/>
    </row>
    <row r="28" spans="2:26" ht="24.95" customHeight="1" x14ac:dyDescent="0.2">
      <c r="L28" s="3"/>
    </row>
    <row r="29" spans="2:26" ht="24.95" customHeight="1" x14ac:dyDescent="0.2"/>
    <row r="30" spans="2:26" ht="24.95" customHeight="1" x14ac:dyDescent="0.2"/>
    <row r="31" spans="2:26" ht="24.95" customHeight="1" x14ac:dyDescent="0.2"/>
    <row r="32" spans="2:26" ht="24.95" customHeight="1" x14ac:dyDescent="0.2"/>
    <row r="33" spans="6:18" ht="24.95" customHeight="1" x14ac:dyDescent="0.2">
      <c r="L33" s="38"/>
    </row>
    <row r="34" spans="6:18" ht="24.95" customHeight="1" x14ac:dyDescent="0.2">
      <c r="H34" s="38"/>
      <c r="I34" s="38"/>
      <c r="J34" s="38"/>
      <c r="K34" s="38"/>
    </row>
    <row r="44" spans="6:18" x14ac:dyDescent="0.2">
      <c r="M44" s="660"/>
      <c r="N44" s="660"/>
    </row>
    <row r="46" spans="6:18" ht="19.5" thickBot="1" x14ac:dyDescent="0.25"/>
    <row r="47" spans="6:18" x14ac:dyDescent="0.2">
      <c r="M47" s="883" t="s">
        <v>18</v>
      </c>
      <c r="N47" s="884"/>
      <c r="P47" s="34"/>
      <c r="Q47" s="35"/>
      <c r="R47" s="60"/>
    </row>
    <row r="48" spans="6:18" x14ac:dyDescent="0.25">
      <c r="F48" s="19"/>
      <c r="M48" s="166"/>
      <c r="N48" s="167"/>
      <c r="P48" s="34"/>
      <c r="Q48" s="35"/>
      <c r="R48" s="60"/>
    </row>
    <row r="49" spans="3:18" x14ac:dyDescent="0.25">
      <c r="C49" s="20"/>
      <c r="D49" s="20"/>
      <c r="E49" s="20"/>
      <c r="F49" s="19"/>
      <c r="G49" s="20"/>
      <c r="M49" s="166"/>
      <c r="N49" s="167"/>
      <c r="P49" s="34"/>
      <c r="Q49" s="35"/>
      <c r="R49" s="60"/>
    </row>
    <row r="50" spans="3:18" x14ac:dyDescent="0.25">
      <c r="C50" s="20"/>
      <c r="D50" s="20"/>
      <c r="E50" s="20"/>
      <c r="F50" s="19"/>
      <c r="G50" s="20"/>
      <c r="H50" s="20"/>
      <c r="M50" s="166"/>
      <c r="N50" s="167"/>
      <c r="P50" s="34"/>
      <c r="Q50" s="35"/>
      <c r="R50" s="60"/>
    </row>
    <row r="51" spans="3:18" x14ac:dyDescent="0.25">
      <c r="F51" s="19"/>
      <c r="G51" s="20"/>
      <c r="H51" s="20"/>
      <c r="I51" s="20"/>
      <c r="J51" s="20"/>
      <c r="K51" s="20"/>
      <c r="M51" s="166"/>
      <c r="N51" s="167"/>
      <c r="P51" s="34"/>
      <c r="Q51" s="35"/>
      <c r="R51" s="60"/>
    </row>
    <row r="52" spans="3:18" x14ac:dyDescent="0.25">
      <c r="F52" s="19"/>
      <c r="G52" s="20"/>
      <c r="H52" s="20"/>
      <c r="I52" s="20"/>
      <c r="J52" s="20"/>
      <c r="K52" s="20"/>
      <c r="M52" s="166"/>
      <c r="N52" s="167"/>
      <c r="P52" s="34"/>
      <c r="Q52" s="35"/>
      <c r="R52" s="60"/>
    </row>
    <row r="53" spans="3:18" x14ac:dyDescent="0.25">
      <c r="F53" s="19"/>
      <c r="G53" s="20"/>
      <c r="H53" s="20"/>
      <c r="M53" s="166"/>
      <c r="N53" s="167"/>
      <c r="P53" s="34"/>
      <c r="Q53" s="35"/>
      <c r="R53" s="60"/>
    </row>
    <row r="54" spans="3:18" ht="19.5" thickBot="1" x14ac:dyDescent="0.3">
      <c r="F54" s="19"/>
      <c r="G54" s="20"/>
      <c r="H54" s="20"/>
      <c r="L54" s="678"/>
      <c r="M54" s="168"/>
      <c r="N54" s="169"/>
      <c r="O54" s="62"/>
      <c r="P54" s="662"/>
      <c r="Q54" s="35"/>
      <c r="R54" s="60"/>
    </row>
    <row r="55" spans="3:18" x14ac:dyDescent="0.25">
      <c r="F55" s="19"/>
      <c r="G55" s="20"/>
      <c r="H55" s="20"/>
      <c r="O55" s="63"/>
      <c r="P55" s="664"/>
      <c r="Q55" s="35"/>
      <c r="R55" s="60"/>
    </row>
    <row r="56" spans="3:18" x14ac:dyDescent="0.25">
      <c r="C56" s="20"/>
      <c r="D56" s="20"/>
      <c r="E56" s="20"/>
      <c r="F56" s="19"/>
      <c r="G56" s="20"/>
      <c r="H56" s="20"/>
      <c r="O56" s="63"/>
      <c r="P56" s="664"/>
      <c r="Q56" s="35"/>
      <c r="R56" s="60"/>
    </row>
    <row r="57" spans="3:18" x14ac:dyDescent="0.25">
      <c r="C57" s="16"/>
      <c r="D57" s="16"/>
      <c r="E57" s="16"/>
      <c r="F57" s="16"/>
      <c r="G57" s="20"/>
      <c r="H57" s="20"/>
      <c r="K57" s="10"/>
      <c r="L57" s="10"/>
      <c r="M57" s="25" t="s">
        <v>52</v>
      </c>
      <c r="N57" s="25" t="s">
        <v>2</v>
      </c>
      <c r="O57" s="27"/>
      <c r="P57" s="52"/>
      <c r="Q57" s="13"/>
      <c r="R57" s="49"/>
    </row>
    <row r="58" spans="3:18" x14ac:dyDescent="0.25">
      <c r="C58" s="16"/>
      <c r="D58" s="16"/>
      <c r="E58" s="16"/>
      <c r="F58" s="16"/>
      <c r="G58" s="17"/>
      <c r="H58" s="20"/>
      <c r="I58" s="20"/>
      <c r="J58" s="20"/>
      <c r="K58" s="19"/>
      <c r="L58" s="10"/>
      <c r="M58" s="26" t="s">
        <v>39</v>
      </c>
      <c r="N58" s="27">
        <f>F7</f>
        <v>759.00300000000004</v>
      </c>
      <c r="O58" s="27"/>
      <c r="P58" s="52"/>
      <c r="Q58" s="13"/>
      <c r="R58" s="49"/>
    </row>
    <row r="59" spans="3:18" x14ac:dyDescent="0.2">
      <c r="G59" s="17"/>
      <c r="H59" s="17"/>
      <c r="I59" s="17"/>
      <c r="J59" s="17"/>
      <c r="K59" s="672"/>
      <c r="L59" s="10"/>
      <c r="M59" s="26" t="s">
        <v>20</v>
      </c>
      <c r="N59" s="27">
        <f>F7</f>
        <v>759.00300000000004</v>
      </c>
      <c r="O59" s="27"/>
      <c r="P59" s="52"/>
      <c r="Q59" s="13"/>
      <c r="R59" s="49"/>
    </row>
    <row r="60" spans="3:18" x14ac:dyDescent="0.2">
      <c r="H60" s="17"/>
      <c r="I60" s="17"/>
      <c r="J60" s="17"/>
      <c r="K60" s="672"/>
      <c r="L60" s="10"/>
      <c r="M60" s="26" t="s">
        <v>36</v>
      </c>
      <c r="N60" s="27">
        <v>428</v>
      </c>
      <c r="O60" s="27"/>
      <c r="P60" s="52"/>
      <c r="Q60" s="13"/>
      <c r="R60" s="49"/>
    </row>
    <row r="61" spans="3:18" x14ac:dyDescent="0.2">
      <c r="K61" s="10"/>
      <c r="L61" s="10"/>
      <c r="M61" s="26" t="s">
        <v>37</v>
      </c>
      <c r="N61" s="27">
        <v>564</v>
      </c>
      <c r="O61" s="27"/>
      <c r="P61" s="52"/>
      <c r="Q61" s="13"/>
      <c r="R61" s="49"/>
    </row>
    <row r="62" spans="3:18" x14ac:dyDescent="0.2">
      <c r="K62" s="10"/>
      <c r="L62" s="10"/>
      <c r="M62" s="26" t="s">
        <v>38</v>
      </c>
      <c r="N62" s="27">
        <v>564</v>
      </c>
      <c r="O62" s="580"/>
      <c r="P62" s="10"/>
      <c r="Q62" s="13"/>
      <c r="R62" s="49"/>
    </row>
    <row r="63" spans="3:18" x14ac:dyDescent="0.2">
      <c r="K63" s="10"/>
      <c r="L63" s="10"/>
      <c r="M63" s="28" t="s">
        <v>40</v>
      </c>
      <c r="N63" s="27">
        <f>F15</f>
        <v>1205.5862000000002</v>
      </c>
      <c r="O63" s="580"/>
      <c r="P63" s="10"/>
      <c r="Q63" s="13"/>
      <c r="R63" s="49"/>
    </row>
    <row r="64" spans="3:18" x14ac:dyDescent="0.2">
      <c r="K64" s="10"/>
      <c r="L64" s="10"/>
      <c r="M64" s="28" t="s">
        <v>41</v>
      </c>
      <c r="N64" s="27">
        <f>F15-Carburant_Bloc_03</f>
        <v>1129.9612000000002</v>
      </c>
      <c r="O64" s="580"/>
      <c r="P64" s="10"/>
      <c r="Q64" s="13"/>
      <c r="R64" s="49"/>
    </row>
    <row r="65" spans="11:18" x14ac:dyDescent="0.2">
      <c r="K65" s="10"/>
      <c r="L65" s="10"/>
      <c r="M65" s="10"/>
      <c r="N65" s="13"/>
      <c r="O65" s="580"/>
      <c r="P65" s="10"/>
      <c r="Q65" s="13"/>
      <c r="R65" s="49"/>
    </row>
    <row r="66" spans="11:18" x14ac:dyDescent="0.2">
      <c r="K66" s="10"/>
      <c r="L66" s="10"/>
      <c r="M66" s="10"/>
      <c r="N66" s="13"/>
      <c r="O66" s="580"/>
      <c r="P66" s="10"/>
      <c r="Q66" s="13"/>
      <c r="R66" s="49"/>
    </row>
    <row r="67" spans="11:18" x14ac:dyDescent="0.2">
      <c r="K67" s="10"/>
      <c r="L67" s="10"/>
      <c r="M67" s="10"/>
      <c r="N67" s="13"/>
      <c r="O67" s="580"/>
      <c r="P67" s="10"/>
      <c r="Q67" s="13"/>
      <c r="R67" s="49"/>
    </row>
  </sheetData>
  <sheetProtection algorithmName="SHA-512" hashValue="Y+bHerBbgavDjkOSDRSNfAz0lOT/jhynF8MmpTmc26nEbnnLk5IzHPkR1c6zGasg+/F4alSGR1u1ojYKsdhYeA==" saltValue="4d7ngWW4UqGP0pepVW2NUA==" spinCount="100000" sheet="1" objects="1" scenarios="1" selectLockedCells="1"/>
  <mergeCells count="49">
    <mergeCell ref="B1:N1"/>
    <mergeCell ref="B2:C2"/>
    <mergeCell ref="D2:E2"/>
    <mergeCell ref="G2:H2"/>
    <mergeCell ref="I2:J2"/>
    <mergeCell ref="M2:N2"/>
    <mergeCell ref="M3:N3"/>
    <mergeCell ref="M4:N4"/>
    <mergeCell ref="C5:F5"/>
    <mergeCell ref="M5:N5"/>
    <mergeCell ref="H5:I5"/>
    <mergeCell ref="H11:I11"/>
    <mergeCell ref="H10:K10"/>
    <mergeCell ref="B3:C3"/>
    <mergeCell ref="D3:F3"/>
    <mergeCell ref="I3:J3"/>
    <mergeCell ref="H7:J7"/>
    <mergeCell ref="H8:J8"/>
    <mergeCell ref="J6:K6"/>
    <mergeCell ref="H6:I6"/>
    <mergeCell ref="D18:E18"/>
    <mergeCell ref="H20:I20"/>
    <mergeCell ref="H12:I12"/>
    <mergeCell ref="M13:N13"/>
    <mergeCell ref="H13:I13"/>
    <mergeCell ref="M14:N14"/>
    <mergeCell ref="H14:I14"/>
    <mergeCell ref="M15:N15"/>
    <mergeCell ref="H15:I15"/>
    <mergeCell ref="B16:F16"/>
    <mergeCell ref="H16:I16"/>
    <mergeCell ref="D17:E17"/>
    <mergeCell ref="H19:I19"/>
    <mergeCell ref="R7:S7"/>
    <mergeCell ref="R14:V14"/>
    <mergeCell ref="H9:K9"/>
    <mergeCell ref="M47:N47"/>
    <mergeCell ref="B19:F19"/>
    <mergeCell ref="H21:I21"/>
    <mergeCell ref="B20:F20"/>
    <mergeCell ref="H22:I22"/>
    <mergeCell ref="E21:F21"/>
    <mergeCell ref="H23:I23"/>
    <mergeCell ref="E22:F22"/>
    <mergeCell ref="H24:I24"/>
    <mergeCell ref="M21:N21"/>
    <mergeCell ref="E23:F23"/>
    <mergeCell ref="B21:C21"/>
    <mergeCell ref="H27:K27"/>
  </mergeCells>
  <conditionalFormatting sqref="B16:F16">
    <cfRule type="cellIs" dxfId="216" priority="37" operator="equal">
      <formula>"* ATTENTION ! Le total carburant est supérieur à la capacité totale !"</formula>
    </cfRule>
  </conditionalFormatting>
  <conditionalFormatting sqref="B19:F19">
    <cfRule type="cellIs" dxfId="215" priority="36" operator="equal">
      <formula>"* ATTENTION ! La masse max au décollage est dépassée !"</formula>
    </cfRule>
  </conditionalFormatting>
  <conditionalFormatting sqref="C15">
    <cfRule type="cellIs" dxfId="214" priority="40" operator="greaterThan">
      <formula>212</formula>
    </cfRule>
  </conditionalFormatting>
  <conditionalFormatting sqref="D12">
    <cfRule type="cellIs" dxfId="213" priority="2" operator="greaterThan">
      <formula>54</formula>
    </cfRule>
  </conditionalFormatting>
  <conditionalFormatting sqref="D15">
    <cfRule type="cellIs" dxfId="212" priority="9" operator="greaterThan">
      <formula>$C$22</formula>
    </cfRule>
  </conditionalFormatting>
  <conditionalFormatting sqref="D22">
    <cfRule type="cellIs" dxfId="211" priority="26" operator="greaterThan">
      <formula>$C$22</formula>
    </cfRule>
  </conditionalFormatting>
  <conditionalFormatting sqref="D23">
    <cfRule type="cellIs" dxfId="210" priority="25" operator="greaterThan">
      <formula>$C$23</formula>
    </cfRule>
  </conditionalFormatting>
  <conditionalFormatting sqref="E22:E23">
    <cfRule type="cellIs" dxfId="209" priority="27" operator="equal">
      <formula>"DANGER !"</formula>
    </cfRule>
    <cfRule type="cellIs" dxfId="208" priority="28" operator="equal">
      <formula>"Ok !"</formula>
    </cfRule>
  </conditionalFormatting>
  <conditionalFormatting sqref="F15">
    <cfRule type="cellIs" dxfId="207" priority="35" operator="greaterThan">
      <formula>1389.557</formula>
    </cfRule>
  </conditionalFormatting>
  <conditionalFormatting sqref="F17">
    <cfRule type="cellIs" dxfId="206" priority="44" operator="greaterThan">
      <formula>$C$22</formula>
    </cfRule>
    <cfRule type="cellIs" dxfId="205" priority="47" operator="equal">
      <formula>"DANGER"</formula>
    </cfRule>
  </conditionalFormatting>
  <conditionalFormatting sqref="F18">
    <cfRule type="cellIs" dxfId="204" priority="43" operator="greaterThan">
      <formula>1.201</formula>
    </cfRule>
  </conditionalFormatting>
  <conditionalFormatting sqref="H27">
    <cfRule type="cellIs" dxfId="203" priority="34" operator="equal">
      <formula>"* DANGER : Avion hors centrage arrière, INTERDICTION de décoller !"</formula>
    </cfRule>
  </conditionalFormatting>
  <conditionalFormatting sqref="H9:K9">
    <cfRule type="cellIs" dxfId="202" priority="10" operator="equal">
      <formula>"* Minimum 1 aérodrome de destination"</formula>
    </cfRule>
  </conditionalFormatting>
  <conditionalFormatting sqref="J6">
    <cfRule type="cellIs" dxfId="201" priority="1" operator="equal">
      <formula>"Erreur !"</formula>
    </cfRule>
  </conditionalFormatting>
  <conditionalFormatting sqref="K8">
    <cfRule type="cellIs" dxfId="200" priority="5" operator="lessThanOrEqual">
      <formula>0</formula>
    </cfRule>
  </conditionalFormatting>
  <conditionalFormatting sqref="M15">
    <cfRule type="cellIs" dxfId="199" priority="45" operator="equal">
      <formula>"DANGER - Total carburant insuffisant !"</formula>
    </cfRule>
    <cfRule type="cellIs" dxfId="198" priority="48" operator="equal">
      <formula>"OK - Quantité de carburant suffisante"</formula>
    </cfRule>
  </conditionalFormatting>
  <conditionalFormatting sqref="M21">
    <cfRule type="cellIs" dxfId="197" priority="7" operator="equal">
      <formula>"** Réserve finale de carburant de 45 mn"</formula>
    </cfRule>
    <cfRule type="cellIs" dxfId="196" priority="8" operator="equal">
      <formula>"** Réserve finale de carburant de 30 mn"</formula>
    </cfRule>
  </conditionalFormatting>
  <conditionalFormatting sqref="M13:N13">
    <cfRule type="cellIs" dxfId="195" priority="29" operator="equal">
      <formula>"Capacité carburant Ok !"</formula>
    </cfRule>
    <cfRule type="cellIs" dxfId="194" priority="30" operator="equal">
      <formula>"ERREUR capacité carburant !"</formula>
    </cfRule>
  </conditionalFormatting>
  <conditionalFormatting sqref="N7">
    <cfRule type="cellIs" dxfId="193" priority="46" operator="greaterThan">
      <formula>212</formula>
    </cfRule>
  </conditionalFormatting>
  <conditionalFormatting sqref="N8:N9">
    <cfRule type="cellIs" dxfId="192" priority="23" operator="greaterThan">
      <formula>106</formula>
    </cfRule>
  </conditionalFormatting>
  <conditionalFormatting sqref="N10">
    <cfRule type="cellIs" dxfId="191" priority="33" operator="greaterThan">
      <formula>201</formula>
    </cfRule>
  </conditionalFormatting>
  <conditionalFormatting sqref="N26:N27">
    <cfRule type="cellIs" dxfId="190" priority="12" operator="lessThan">
      <formula>0</formula>
    </cfRule>
  </conditionalFormatting>
  <conditionalFormatting sqref="S12">
    <cfRule type="cellIs" dxfId="189" priority="3" operator="lessThan">
      <formula>0</formula>
    </cfRule>
  </conditionalFormatting>
  <dataValidations count="1">
    <dataValidation type="list" allowBlank="1" showInputMessage="1" showErrorMessage="1" sqref="N19" xr:uid="{08BD9B9A-702E-49B2-AD52-C904F59E9537}">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FFB-4236-4DFE-82A1-F599DC119C61}">
  <sheetPr>
    <tabColor theme="8" tint="-0.249977111117893"/>
    <pageSetUpPr fitToPage="1"/>
  </sheetPr>
  <dimension ref="B1:AB76"/>
  <sheetViews>
    <sheetView showGridLines="0" topLeftCell="C1" zoomScale="85" zoomScaleNormal="85" workbookViewId="0">
      <pane ySplit="3" topLeftCell="A6" activePane="bottomLeft" state="frozenSplit"/>
      <selection activeCell="C3" sqref="C3:E3"/>
      <selection pane="bottomLeft" activeCell="K17" sqref="K17"/>
    </sheetView>
  </sheetViews>
  <sheetFormatPr baseColWidth="10" defaultRowHeight="18.75" x14ac:dyDescent="0.2"/>
  <cols>
    <col min="1" max="1" width="42.7109375" style="1" customWidth="1"/>
    <col min="2" max="2" width="30" style="1" customWidth="1"/>
    <col min="3" max="6" width="15.7109375" style="24"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4" customWidth="1"/>
    <col min="15" max="15" width="5.7109375" style="78" customWidth="1"/>
    <col min="16" max="16" width="33.42578125" style="67" hidden="1" customWidth="1"/>
    <col min="17" max="17" width="12.7109375" style="68" hidden="1" customWidth="1"/>
    <col min="18" max="18" width="35.28515625" style="67" bestFit="1" customWidth="1"/>
    <col min="19" max="20" width="16.7109375" style="67" customWidth="1"/>
    <col min="21" max="21" width="18.28515625" style="67" bestFit="1" customWidth="1"/>
    <col min="22" max="22" width="23.7109375" style="67" customWidth="1"/>
    <col min="23" max="23" width="11.42578125" style="67"/>
    <col min="24" max="24" width="11.42578125" style="10"/>
    <col min="25" max="25" width="11.42578125" style="34"/>
    <col min="26"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8" s="7" customFormat="1" ht="50.1" customHeight="1" thickBot="1" x14ac:dyDescent="0.25">
      <c r="B1" s="779" t="s">
        <v>249</v>
      </c>
      <c r="C1" s="780"/>
      <c r="D1" s="780"/>
      <c r="E1" s="780"/>
      <c r="F1" s="780"/>
      <c r="G1" s="780"/>
      <c r="H1" s="780"/>
      <c r="I1" s="780"/>
      <c r="J1" s="780"/>
      <c r="K1" s="780"/>
      <c r="L1" s="780"/>
      <c r="M1" s="780"/>
      <c r="N1" s="781"/>
      <c r="O1" s="77"/>
      <c r="P1" s="64"/>
      <c r="Q1" s="65"/>
      <c r="R1" s="64"/>
      <c r="S1" s="64"/>
      <c r="T1" s="64"/>
      <c r="U1" s="64"/>
      <c r="V1" s="64"/>
      <c r="W1" s="64"/>
      <c r="X1" s="9"/>
      <c r="Y1" s="33"/>
    </row>
    <row r="2" spans="2:28" ht="24.95" customHeight="1" thickBot="1" x14ac:dyDescent="0.25">
      <c r="B2" s="934" t="s">
        <v>16</v>
      </c>
      <c r="C2" s="934"/>
      <c r="D2" s="935">
        <v>43529</v>
      </c>
      <c r="E2" s="936"/>
      <c r="G2" s="934" t="s">
        <v>35</v>
      </c>
      <c r="H2" s="934"/>
      <c r="I2" s="937">
        <f ca="1">NOW()</f>
        <v>45720.672637847223</v>
      </c>
      <c r="J2" s="937"/>
      <c r="K2" s="8"/>
      <c r="M2" s="866" t="s">
        <v>19</v>
      </c>
      <c r="N2" s="866"/>
    </row>
    <row r="3" spans="2:28" ht="24.95" customHeight="1" thickBot="1" x14ac:dyDescent="0.25">
      <c r="B3" s="867" t="s">
        <v>17</v>
      </c>
      <c r="C3" s="867"/>
      <c r="D3" s="841">
        <v>44981</v>
      </c>
      <c r="E3" s="842"/>
      <c r="F3" s="843"/>
      <c r="H3" s="686" t="s">
        <v>244</v>
      </c>
      <c r="I3" s="844">
        <v>0.47916666666666669</v>
      </c>
      <c r="J3" s="845"/>
      <c r="M3" s="846"/>
      <c r="N3" s="847"/>
    </row>
    <row r="4" spans="2:28" ht="24.95" customHeight="1" thickBot="1" x14ac:dyDescent="0.25">
      <c r="B4" s="23"/>
      <c r="C4" s="23"/>
      <c r="M4" s="848">
        <f>IF((Capacité_carburant_Max_06-Carburant_utilisable_06)&gt;0,Capacité_carburant_Max_06-Carburant_utilisable_06,"Tout le carburant est utilisable.")</f>
        <v>1</v>
      </c>
      <c r="N4" s="848"/>
    </row>
    <row r="5" spans="2:28" ht="24.95" customHeight="1" thickBot="1" x14ac:dyDescent="0.25">
      <c r="C5" s="931" t="s">
        <v>50</v>
      </c>
      <c r="D5" s="932"/>
      <c r="E5" s="932"/>
      <c r="F5" s="933"/>
      <c r="H5" s="849" t="str">
        <f>UPPER("Génération du graphique")</f>
        <v>GÉNÉRATION DU GRAPHIQUE</v>
      </c>
      <c r="I5" s="850"/>
      <c r="J5" s="850"/>
      <c r="K5" s="946"/>
      <c r="L5" s="2"/>
      <c r="M5" s="829" t="s">
        <v>42</v>
      </c>
      <c r="N5" s="831"/>
      <c r="O5" s="81"/>
      <c r="P5" s="67" t="s">
        <v>14</v>
      </c>
    </row>
    <row r="6" spans="2:28" s="2" customFormat="1" ht="39" customHeight="1" thickBot="1" x14ac:dyDescent="0.25">
      <c r="B6" s="4"/>
      <c r="C6" s="400" t="s">
        <v>0</v>
      </c>
      <c r="D6" s="401" t="s">
        <v>11</v>
      </c>
      <c r="E6" s="401" t="s">
        <v>10</v>
      </c>
      <c r="F6" s="402" t="s">
        <v>9</v>
      </c>
      <c r="H6" s="386" t="s">
        <v>48</v>
      </c>
      <c r="I6" s="387" t="s">
        <v>2</v>
      </c>
      <c r="J6" s="387" t="s">
        <v>3</v>
      </c>
      <c r="K6" s="321" t="s">
        <v>13</v>
      </c>
      <c r="L6" s="1"/>
      <c r="M6" s="419" t="s">
        <v>44</v>
      </c>
      <c r="N6" s="251">
        <v>0.84</v>
      </c>
      <c r="O6" s="216"/>
      <c r="P6" s="71" t="s">
        <v>15</v>
      </c>
      <c r="Q6" s="72"/>
      <c r="T6" s="71"/>
      <c r="U6" s="71"/>
      <c r="V6" s="71"/>
      <c r="W6" s="71"/>
      <c r="X6" s="11"/>
      <c r="Y6" s="36"/>
    </row>
    <row r="7" spans="2:28" ht="24.95" customHeight="1" thickBot="1" x14ac:dyDescent="0.25">
      <c r="B7" s="404" t="s">
        <v>1</v>
      </c>
      <c r="C7" s="356"/>
      <c r="D7" s="403">
        <v>686.34</v>
      </c>
      <c r="E7" s="398">
        <v>0.33600000000000002</v>
      </c>
      <c r="F7" s="399">
        <f t="shared" ref="F7:F12" si="0">E7*D7</f>
        <v>230.61024000000003</v>
      </c>
      <c r="H7" s="411" t="s">
        <v>86</v>
      </c>
      <c r="I7" s="412">
        <v>257</v>
      </c>
      <c r="J7" s="413">
        <f>Masse_à_vide_06</f>
        <v>686.34</v>
      </c>
      <c r="K7" s="414">
        <f t="shared" ref="K7:K13" si="1">I7/J7</f>
        <v>0.37444998105895033</v>
      </c>
      <c r="M7" s="254" t="s">
        <v>47</v>
      </c>
      <c r="N7" s="627">
        <f>Carburant_Principal_06+Carburant_Secondaire_06</f>
        <v>108</v>
      </c>
      <c r="R7" s="938" t="str">
        <f>UPPER("Moment à l'atterrissage")</f>
        <v>MOMENT À L'ATTERRISSAGE</v>
      </c>
      <c r="S7" s="939"/>
      <c r="T7" s="423" t="s">
        <v>106</v>
      </c>
      <c r="U7" s="423" t="s">
        <v>105</v>
      </c>
      <c r="V7" s="424" t="s">
        <v>107</v>
      </c>
    </row>
    <row r="8" spans="2:28" ht="24.95" customHeight="1" x14ac:dyDescent="0.2">
      <c r="B8" s="405" t="s">
        <v>4</v>
      </c>
      <c r="C8" s="357"/>
      <c r="D8" s="353">
        <v>104</v>
      </c>
      <c r="E8" s="350">
        <v>0.41</v>
      </c>
      <c r="F8" s="333">
        <f t="shared" si="0"/>
        <v>42.64</v>
      </c>
      <c r="H8" s="236" t="s">
        <v>81</v>
      </c>
      <c r="I8" s="346">
        <v>257</v>
      </c>
      <c r="J8" s="238">
        <v>820</v>
      </c>
      <c r="K8" s="239">
        <f t="shared" si="1"/>
        <v>0.31341463414634146</v>
      </c>
      <c r="M8" s="405" t="s">
        <v>45</v>
      </c>
      <c r="N8" s="628">
        <v>60</v>
      </c>
      <c r="R8" s="376" t="s">
        <v>1</v>
      </c>
      <c r="S8" s="377"/>
      <c r="T8" s="378">
        <f>D7</f>
        <v>686.34</v>
      </c>
      <c r="U8" s="379">
        <f>E7</f>
        <v>0.33600000000000002</v>
      </c>
      <c r="V8" s="380">
        <f t="shared" ref="V8:V13" si="2">T8*U8</f>
        <v>230.61024000000003</v>
      </c>
    </row>
    <row r="9" spans="2:28" ht="24.95" customHeight="1" thickBot="1" x14ac:dyDescent="0.25">
      <c r="B9" s="405" t="s">
        <v>5</v>
      </c>
      <c r="C9" s="357"/>
      <c r="D9" s="354">
        <v>78</v>
      </c>
      <c r="E9" s="350">
        <v>0.41</v>
      </c>
      <c r="F9" s="333">
        <f t="shared" si="0"/>
        <v>31.979999999999997</v>
      </c>
      <c r="H9" s="236" t="s">
        <v>82</v>
      </c>
      <c r="I9" s="346">
        <v>462</v>
      </c>
      <c r="J9" s="238">
        <f>Masse_Max_Décollage_06</f>
        <v>1100</v>
      </c>
      <c r="K9" s="239">
        <f t="shared" si="1"/>
        <v>0.42</v>
      </c>
      <c r="M9" s="427" t="s">
        <v>79</v>
      </c>
      <c r="N9" s="629">
        <v>48</v>
      </c>
      <c r="P9" s="70" t="s">
        <v>94</v>
      </c>
      <c r="R9" s="133" t="s">
        <v>159</v>
      </c>
      <c r="S9" s="381"/>
      <c r="T9" s="135">
        <f>D8+D9</f>
        <v>182</v>
      </c>
      <c r="U9" s="136">
        <f>E8</f>
        <v>0.41</v>
      </c>
      <c r="V9" s="137">
        <f t="shared" si="2"/>
        <v>74.61999999999999</v>
      </c>
    </row>
    <row r="10" spans="2:28" ht="24.95" customHeight="1" x14ac:dyDescent="0.2">
      <c r="B10" s="405" t="s">
        <v>6</v>
      </c>
      <c r="C10" s="357"/>
      <c r="D10" s="354">
        <v>56</v>
      </c>
      <c r="E10" s="350">
        <v>1.19</v>
      </c>
      <c r="F10" s="333">
        <f t="shared" si="0"/>
        <v>66.64</v>
      </c>
      <c r="H10" s="236" t="s">
        <v>83</v>
      </c>
      <c r="I10" s="346">
        <v>564</v>
      </c>
      <c r="J10" s="238">
        <f>Masse_Max_Décollage_06</f>
        <v>1100</v>
      </c>
      <c r="K10" s="239">
        <f t="shared" si="1"/>
        <v>0.5127272727272727</v>
      </c>
      <c r="M10" s="254" t="s">
        <v>51</v>
      </c>
      <c r="N10" s="630">
        <f>N7-1</f>
        <v>107</v>
      </c>
      <c r="P10" s="67" t="s">
        <v>24</v>
      </c>
      <c r="Q10" s="73">
        <f>Consommation_minute_06</f>
        <v>0.4</v>
      </c>
      <c r="R10" s="133" t="s">
        <v>160</v>
      </c>
      <c r="S10" s="381"/>
      <c r="T10" s="135">
        <f>D10+D11</f>
        <v>56</v>
      </c>
      <c r="U10" s="136">
        <f>E10</f>
        <v>1.19</v>
      </c>
      <c r="V10" s="137">
        <f t="shared" si="2"/>
        <v>66.64</v>
      </c>
    </row>
    <row r="11" spans="2:28" ht="24.95" customHeight="1" thickBot="1" x14ac:dyDescent="0.25">
      <c r="B11" s="405" t="s">
        <v>7</v>
      </c>
      <c r="C11" s="357"/>
      <c r="D11" s="354"/>
      <c r="E11" s="350">
        <v>1.19</v>
      </c>
      <c r="F11" s="333">
        <f t="shared" si="0"/>
        <v>0</v>
      </c>
      <c r="H11" s="243" t="s">
        <v>84</v>
      </c>
      <c r="I11" s="415">
        <v>564</v>
      </c>
      <c r="J11" s="245">
        <f>Masse_à_vide_06</f>
        <v>686.34</v>
      </c>
      <c r="K11" s="246">
        <f t="shared" si="1"/>
        <v>0.82175015298540077</v>
      </c>
      <c r="M11" s="254" t="s">
        <v>46</v>
      </c>
      <c r="N11" s="631">
        <v>24</v>
      </c>
      <c r="P11" s="67" t="s">
        <v>25</v>
      </c>
      <c r="Q11" s="68">
        <f>IF(Carburant_Bloc_06&gt;Carburant_utilisable_06,Carburant_utilisable_06-(Carburant_Bloc_06-Carburant_utilisable_06),Carburant_utilisable_06)</f>
        <v>107</v>
      </c>
      <c r="R11" s="133" t="s">
        <v>80</v>
      </c>
      <c r="S11" s="381"/>
      <c r="T11" s="135">
        <f>Bagages_06</f>
        <v>10</v>
      </c>
      <c r="U11" s="136">
        <f>E12</f>
        <v>1.9</v>
      </c>
      <c r="V11" s="137">
        <f t="shared" si="2"/>
        <v>19</v>
      </c>
    </row>
    <row r="12" spans="2:28" ht="24.95" customHeight="1" thickBot="1" x14ac:dyDescent="0.25">
      <c r="B12" s="405" t="s">
        <v>117</v>
      </c>
      <c r="C12" s="357"/>
      <c r="D12" s="355">
        <v>10</v>
      </c>
      <c r="E12" s="350">
        <v>1.9</v>
      </c>
      <c r="F12" s="333">
        <f t="shared" si="0"/>
        <v>19</v>
      </c>
      <c r="H12" s="393" t="s">
        <v>108</v>
      </c>
      <c r="I12" s="389">
        <f>Moment_Décollage_06</f>
        <v>512.23343999999997</v>
      </c>
      <c r="J12" s="567">
        <f>Masse_Décollage_06</f>
        <v>1025.06</v>
      </c>
      <c r="K12" s="391">
        <f t="shared" si="1"/>
        <v>0.49971069010594504</v>
      </c>
      <c r="M12" s="248" t="s">
        <v>8</v>
      </c>
      <c r="N12" s="263">
        <f>N11/60</f>
        <v>0.4</v>
      </c>
      <c r="P12" s="67" t="s">
        <v>26</v>
      </c>
      <c r="Q12" s="75">
        <f>Q11/Q10</f>
        <v>267.5</v>
      </c>
      <c r="R12" s="133" t="str">
        <f>B13</f>
        <v>Carburant principal :</v>
      </c>
      <c r="S12" s="623">
        <f>IF(Carburant_Bloc_06&gt;Carburant_Principal_06,0,(Carburant_Principal_06)-Carburant_Bloc_06)</f>
        <v>0</v>
      </c>
      <c r="T12" s="135">
        <f>S12*Densité_Carburant_06</f>
        <v>0</v>
      </c>
      <c r="U12" s="136">
        <f>E13</f>
        <v>1.1200000000000001</v>
      </c>
      <c r="V12" s="137">
        <f t="shared" si="2"/>
        <v>0</v>
      </c>
    </row>
    <row r="13" spans="2:28" ht="24.95" customHeight="1" thickBot="1" x14ac:dyDescent="0.25">
      <c r="B13" s="405" t="s">
        <v>23</v>
      </c>
      <c r="C13" s="335">
        <f>Carburant_Principal_06</f>
        <v>60</v>
      </c>
      <c r="D13" s="352">
        <f>Densité_Carburant_06*C13</f>
        <v>50.4</v>
      </c>
      <c r="E13" s="332">
        <v>1.1200000000000001</v>
      </c>
      <c r="F13" s="333">
        <f>E13*D13</f>
        <v>56.448</v>
      </c>
      <c r="H13" s="248" t="s">
        <v>109</v>
      </c>
      <c r="I13" s="392">
        <f>Moment_Atterrissage_06</f>
        <v>444.96624000000003</v>
      </c>
      <c r="J13" s="568">
        <f>Masse_Atterrissage_06</f>
        <v>967.94</v>
      </c>
      <c r="K13" s="242">
        <f t="shared" si="1"/>
        <v>0.45970436184060998</v>
      </c>
      <c r="M13" s="877" t="str">
        <f>IF(Capacité_carburant_Max_06&gt;160,"ERREUR capacité réservoirs !","Capacité réservoirs respectée !")</f>
        <v>Capacité réservoirs respectée !</v>
      </c>
      <c r="N13" s="878"/>
      <c r="P13" s="67" t="s">
        <v>27</v>
      </c>
      <c r="Q13" s="68">
        <f>ROUNDDOWN(Q12/60,0)</f>
        <v>4</v>
      </c>
      <c r="R13" s="262" t="str">
        <f>B14</f>
        <v>Carburant secondaire :</v>
      </c>
      <c r="S13" s="637">
        <f>IF(Carburant_Bloc_06&gt;Carburant_Principal_06,Carburant_Secondaire_06-(Carburant_Bloc_06-Carburant_Principal_06),Carburant_Secondaire_06)</f>
        <v>40</v>
      </c>
      <c r="T13" s="382">
        <f>S13*Densité_Carburant_06</f>
        <v>33.6</v>
      </c>
      <c r="U13" s="383">
        <f>E14</f>
        <v>1.61</v>
      </c>
      <c r="V13" s="428">
        <f t="shared" si="2"/>
        <v>54.096000000000004</v>
      </c>
    </row>
    <row r="14" spans="2:28" ht="24.95" customHeight="1" thickBot="1" x14ac:dyDescent="0.25">
      <c r="B14" s="406" t="s">
        <v>78</v>
      </c>
      <c r="C14" s="336">
        <f>Carburant_Secondaire_06</f>
        <v>48</v>
      </c>
      <c r="D14" s="337">
        <f>Densité_Carburant_06*C14</f>
        <v>40.32</v>
      </c>
      <c r="E14" s="338">
        <v>1.61</v>
      </c>
      <c r="F14" s="339">
        <f>E14*D14</f>
        <v>64.915199999999999</v>
      </c>
      <c r="H14" s="787" t="str">
        <f>IF(Nbre_Aérodromes_06&lt;=0,"* Minimum 1 aérodrome de destination","")</f>
        <v/>
      </c>
      <c r="I14" s="787"/>
      <c r="J14" s="787"/>
      <c r="K14" s="787"/>
      <c r="M14" s="829" t="str">
        <f>UPPER("Carburant Exploit. générale")</f>
        <v>CARBURANT EXPLOIT. GÉNÉRALE</v>
      </c>
      <c r="N14" s="831"/>
      <c r="P14" s="67" t="s">
        <v>28</v>
      </c>
      <c r="Q14" s="75">
        <f>Q12-(Q13*60)</f>
        <v>27.5</v>
      </c>
      <c r="R14" s="372" t="s">
        <v>161</v>
      </c>
      <c r="S14" s="638">
        <f>SUM(S12:S13)</f>
        <v>40</v>
      </c>
      <c r="T14" s="373">
        <f>SUM(T8:T13)</f>
        <v>967.94</v>
      </c>
      <c r="U14" s="374">
        <f>Moment_Atterrissage_06/Masse_Atterrissage_06</f>
        <v>0.45970436184060998</v>
      </c>
      <c r="V14" s="375">
        <f>SUM(V8:V13)</f>
        <v>444.96624000000003</v>
      </c>
    </row>
    <row r="15" spans="2:28" ht="24.95" customHeight="1" thickBot="1" x14ac:dyDescent="0.25">
      <c r="B15" s="305" t="s">
        <v>12</v>
      </c>
      <c r="C15" s="306">
        <f>SUM(C13:C14)</f>
        <v>108</v>
      </c>
      <c r="D15" s="307">
        <f>SUM(D7:D14)</f>
        <v>1025.06</v>
      </c>
      <c r="E15" s="315">
        <f>Moment_Décollage_06/'4-DR 401-F-HIGI'!Masse_Décollage_06</f>
        <v>0.49971069010594504</v>
      </c>
      <c r="F15" s="384">
        <f>SUM(F7:F14)</f>
        <v>512.23343999999997</v>
      </c>
      <c r="H15" s="804" t="str">
        <f>UPPER("02-Données du vol")</f>
        <v>02-DONNÉES DU VOL</v>
      </c>
      <c r="I15" s="943"/>
      <c r="J15" s="671"/>
      <c r="K15" s="670"/>
      <c r="M15" s="944" t="str">
        <f>IF(N24&gt;Carburant_utilisable_06,"DANGER - Total carburant insuffisant !","OK - Quantité de carburant suffisante")</f>
        <v>OK - Quantité de carburant suffisante</v>
      </c>
      <c r="N15" s="945"/>
      <c r="O15" s="585"/>
      <c r="P15" s="593"/>
      <c r="Q15" s="594"/>
      <c r="R15" s="942" t="str">
        <f>IF(S12=Réserve_Finale_06,"Le carburant restant dans le réservoir principal correspond à la réserve finale","")</f>
        <v/>
      </c>
      <c r="S15" s="942"/>
      <c r="T15" s="942"/>
      <c r="U15" s="942"/>
      <c r="V15" s="942"/>
      <c r="W15" s="14"/>
      <c r="X15" s="14"/>
      <c r="Y15" s="14"/>
      <c r="Z15" s="14"/>
      <c r="AA15" s="14"/>
      <c r="AB15" s="14"/>
    </row>
    <row r="16" spans="2:28" ht="24.95" customHeight="1" thickTop="1" thickBot="1" x14ac:dyDescent="0.25">
      <c r="B16" s="792" t="str">
        <f>IF(C15&gt;160,"* ATTENTION ! Le total carburant est supérieur à la capacité totale !","")</f>
        <v/>
      </c>
      <c r="C16" s="792"/>
      <c r="D16" s="792"/>
      <c r="E16" s="792"/>
      <c r="F16" s="792"/>
      <c r="H16" s="940" t="s">
        <v>147</v>
      </c>
      <c r="I16" s="941"/>
      <c r="J16" s="813" t="str">
        <f>IF(Durée_Totale_Vol_06&gt;Q12,"Erreur !",TEXT(Q13,"#0")&amp;" h et "&amp;TEXT(Q14,"#0")&amp;" mn")</f>
        <v>4 h et 28 mn</v>
      </c>
      <c r="K16" s="814"/>
      <c r="M16" s="420" t="s">
        <v>102</v>
      </c>
      <c r="N16" s="632">
        <f>Durée_Totale_Vol_06*Consommation_minute_06</f>
        <v>48</v>
      </c>
      <c r="O16" s="586"/>
      <c r="P16" s="14"/>
      <c r="Q16" s="18"/>
      <c r="R16" s="581"/>
      <c r="S16" s="580" t="s">
        <v>236</v>
      </c>
      <c r="T16" s="580" t="s">
        <v>33</v>
      </c>
      <c r="U16" s="580" t="s">
        <v>234</v>
      </c>
      <c r="V16" s="580" t="s">
        <v>233</v>
      </c>
      <c r="W16" s="580" t="s">
        <v>235</v>
      </c>
      <c r="X16" s="580" t="s">
        <v>237</v>
      </c>
      <c r="Y16" s="580" t="s">
        <v>240</v>
      </c>
      <c r="Z16" s="14"/>
      <c r="AA16" s="14"/>
      <c r="AB16" s="14"/>
    </row>
    <row r="17" spans="2:28" ht="24.95" customHeight="1" x14ac:dyDescent="0.2">
      <c r="B17" s="3"/>
      <c r="D17" s="953" t="str">
        <f>UPPER("Masse Totale :")</f>
        <v>MASSE TOTALE :</v>
      </c>
      <c r="E17" s="954"/>
      <c r="F17" s="565">
        <f>IF(Masse_Décollage_06&gt;Masse_Max_Décollage_06,"DANGER",Masse_Décollage_06)</f>
        <v>1025.06</v>
      </c>
      <c r="H17" s="963" t="s">
        <v>21</v>
      </c>
      <c r="I17" s="964"/>
      <c r="J17" s="965"/>
      <c r="K17" s="425">
        <v>120</v>
      </c>
      <c r="M17" s="254" t="s">
        <v>103</v>
      </c>
      <c r="N17" s="631">
        <f>Nbre_Aérodromes_06*(Consommation_minute_06*10)</f>
        <v>4</v>
      </c>
      <c r="O17" s="586"/>
      <c r="P17" s="595" t="s">
        <v>141</v>
      </c>
      <c r="Q17" s="18"/>
      <c r="R17" s="581" t="s">
        <v>238</v>
      </c>
      <c r="S17" s="582">
        <v>110</v>
      </c>
      <c r="T17" s="579">
        <f>Carburant_Aile_Droite_06</f>
        <v>60</v>
      </c>
      <c r="U17" s="583">
        <f>1-V17</f>
        <v>0.45454545454545459</v>
      </c>
      <c r="V17" s="583">
        <f>T17/S17</f>
        <v>0.54545454545454541</v>
      </c>
      <c r="W17" s="584">
        <v>0.2</v>
      </c>
      <c r="X17" s="584">
        <v>0.2</v>
      </c>
      <c r="Y17" s="584">
        <v>0.2</v>
      </c>
      <c r="Z17" s="14"/>
      <c r="AA17" s="14"/>
      <c r="AB17" s="14"/>
    </row>
    <row r="18" spans="2:28" ht="24.95" customHeight="1" thickBot="1" x14ac:dyDescent="0.25">
      <c r="B18" s="3"/>
      <c r="D18" s="958" t="str">
        <f>UPPER("moment :")</f>
        <v>MOMENT :</v>
      </c>
      <c r="E18" s="959"/>
      <c r="F18" s="318">
        <f>Moment_Décollage_06</f>
        <v>512.23343999999997</v>
      </c>
      <c r="H18" s="955" t="s">
        <v>22</v>
      </c>
      <c r="I18" s="956"/>
      <c r="J18" s="957"/>
      <c r="K18" s="426">
        <v>1</v>
      </c>
      <c r="M18" s="421" t="s">
        <v>143</v>
      </c>
      <c r="N18" s="627">
        <f>SUM(N16:N17)</f>
        <v>52</v>
      </c>
      <c r="O18" s="586"/>
      <c r="P18" s="14" t="s">
        <v>122</v>
      </c>
      <c r="Q18" s="589">
        <f>Carburant_Bloc_06/Durée_Totale_Vol_06</f>
        <v>0.56666666666666665</v>
      </c>
      <c r="R18" s="581"/>
      <c r="S18" s="580" t="s">
        <v>236</v>
      </c>
      <c r="T18" s="580" t="s">
        <v>33</v>
      </c>
      <c r="U18" s="580" t="s">
        <v>234</v>
      </c>
      <c r="V18" s="580" t="s">
        <v>233</v>
      </c>
      <c r="W18" s="580" t="s">
        <v>235</v>
      </c>
      <c r="X18" s="580" t="s">
        <v>237</v>
      </c>
      <c r="Y18" s="580" t="s">
        <v>240</v>
      </c>
      <c r="Z18" s="14"/>
      <c r="AA18" s="14"/>
      <c r="AB18" s="14"/>
    </row>
    <row r="19" spans="2:28" ht="24.95" customHeight="1" thickBot="1" x14ac:dyDescent="0.25">
      <c r="B19" s="792" t="str">
        <f>IF(Masse_Décollage_06&gt;Masse_Max_Décollage_06,"* ATTENTION ! La masse max au décollage est dépassée !","")</f>
        <v/>
      </c>
      <c r="C19" s="792"/>
      <c r="D19" s="792"/>
      <c r="E19" s="792"/>
      <c r="F19" s="792"/>
      <c r="H19" s="792" t="str">
        <f>IF(Moment_Décollage_06&gt;564,"* DANGER : Avion hors centrage arrière, INTERDICTION de décoller !","")</f>
        <v/>
      </c>
      <c r="I19" s="792"/>
      <c r="J19" s="792"/>
      <c r="K19" s="792"/>
      <c r="M19" s="405" t="s">
        <v>43</v>
      </c>
      <c r="N19" s="271" t="s">
        <v>14</v>
      </c>
      <c r="O19" s="586"/>
      <c r="P19" s="14" t="s">
        <v>25</v>
      </c>
      <c r="Q19" s="18">
        <f>Q11</f>
        <v>107</v>
      </c>
      <c r="R19" s="581" t="s">
        <v>239</v>
      </c>
      <c r="S19" s="582">
        <v>50</v>
      </c>
      <c r="T19" s="579">
        <f>Carburant_Aile_Gauche_06</f>
        <v>48</v>
      </c>
      <c r="U19" s="583">
        <f>1-V19</f>
        <v>4.0000000000000036E-2</v>
      </c>
      <c r="V19" s="583">
        <f>T19/S19</f>
        <v>0.96</v>
      </c>
      <c r="W19" s="584">
        <v>0.2</v>
      </c>
      <c r="X19" s="584">
        <v>0.2</v>
      </c>
      <c r="Y19" s="584">
        <v>0.2</v>
      </c>
      <c r="Z19" s="14"/>
      <c r="AA19" s="14"/>
      <c r="AB19" s="14"/>
    </row>
    <row r="20" spans="2:28" ht="24.95" customHeight="1" thickBot="1" x14ac:dyDescent="0.25">
      <c r="B20" s="917" t="s">
        <v>30</v>
      </c>
      <c r="C20" s="960"/>
      <c r="D20" s="960"/>
      <c r="E20" s="960"/>
      <c r="F20" s="918"/>
      <c r="L20" s="3"/>
      <c r="M20" s="254" t="s">
        <v>144</v>
      </c>
      <c r="N20" s="630">
        <f>IF(Durée_Totale_Vol_06&gt;0,IF(N19="Jour",Consommation_minute_06*30,Consommation_minute_06*45),0)</f>
        <v>12</v>
      </c>
      <c r="O20" s="586"/>
      <c r="P20" s="14" t="s">
        <v>26</v>
      </c>
      <c r="Q20" s="592">
        <f>Q19/Q18</f>
        <v>188.82352941176472</v>
      </c>
      <c r="R20" s="581"/>
      <c r="S20" s="579">
        <f>Capacité_carburant_Max_06-Carburant_utilisable_06</f>
        <v>1</v>
      </c>
      <c r="T20" s="599"/>
      <c r="U20" s="597"/>
      <c r="V20" s="49"/>
      <c r="W20" s="49"/>
      <c r="X20" s="49"/>
      <c r="Y20" s="49"/>
      <c r="Z20" s="14"/>
      <c r="AA20" s="14"/>
      <c r="AB20" s="14"/>
    </row>
    <row r="21" spans="2:28" ht="24.95" customHeight="1" thickBot="1" x14ac:dyDescent="0.25">
      <c r="B21" s="951" t="s">
        <v>87</v>
      </c>
      <c r="C21" s="952"/>
      <c r="D21" s="407" t="s">
        <v>33</v>
      </c>
      <c r="E21" s="961" t="s">
        <v>34</v>
      </c>
      <c r="F21" s="962"/>
      <c r="M21" s="819" t="str">
        <f>IF(N19="Jour","** Réserve finale de carburant de 30 mn","** Réserve finale de carburant de 45 mn")</f>
        <v>** Réserve finale de carburant de 30 mn</v>
      </c>
      <c r="N21" s="820"/>
      <c r="O21" s="586"/>
      <c r="P21" s="14" t="s">
        <v>27</v>
      </c>
      <c r="Q21" s="592">
        <f>ROUNDDOWN(Q20/60,0)</f>
        <v>3</v>
      </c>
      <c r="R21" s="10"/>
      <c r="S21" s="10"/>
      <c r="T21" s="10"/>
      <c r="U21" s="10"/>
      <c r="V21" s="10"/>
      <c r="W21" s="10"/>
      <c r="Y21" s="10"/>
      <c r="Z21" s="14"/>
      <c r="AA21" s="14"/>
      <c r="AB21" s="14"/>
    </row>
    <row r="22" spans="2:28" ht="24.95" customHeight="1" x14ac:dyDescent="0.2">
      <c r="B22" s="408" t="s">
        <v>31</v>
      </c>
      <c r="C22" s="409">
        <v>1100</v>
      </c>
      <c r="D22" s="569">
        <f>Masse_Décollage_06</f>
        <v>1025.06</v>
      </c>
      <c r="E22" s="949" t="str">
        <f>IF(D22&lt;=Masse_Max_Décollage_06,"Ok !","DANGER !")</f>
        <v>Ok !</v>
      </c>
      <c r="F22" s="950"/>
      <c r="M22" s="254" t="s">
        <v>145</v>
      </c>
      <c r="N22" s="631">
        <f>(Consommation_horaire_06/60)*10</f>
        <v>4</v>
      </c>
      <c r="O22" s="588"/>
      <c r="P22" s="14" t="s">
        <v>28</v>
      </c>
      <c r="Q22" s="592">
        <f>Q20-(Q21*60)</f>
        <v>8.8235294117647243</v>
      </c>
      <c r="R22" s="10"/>
      <c r="S22" s="10"/>
      <c r="T22" s="10"/>
      <c r="U22" s="10"/>
      <c r="V22" s="10"/>
      <c r="W22" s="10"/>
      <c r="Y22" s="10"/>
      <c r="Z22" s="14"/>
      <c r="AA22" s="14"/>
      <c r="AB22" s="14"/>
    </row>
    <row r="23" spans="2:28" ht="24.95" customHeight="1" thickBot="1" x14ac:dyDescent="0.25">
      <c r="B23" s="410" t="s">
        <v>32</v>
      </c>
      <c r="C23" s="138">
        <v>1100</v>
      </c>
      <c r="D23" s="570">
        <f>Masse_Décollage_06-(N24*Densité_Carburant_06)</f>
        <v>967.93999999999994</v>
      </c>
      <c r="E23" s="947" t="str">
        <f>IF(D23&lt;=C23,"Ok !","DANGER !")</f>
        <v>Ok !</v>
      </c>
      <c r="F23" s="948"/>
      <c r="M23" s="422" t="s">
        <v>254</v>
      </c>
      <c r="N23" s="261">
        <f>((Délestage_06+Carburant_Roulage_06)-Carburant_Destination_06)/Carburant_Destination_06</f>
        <v>0.16666666666666666</v>
      </c>
      <c r="O23" s="586"/>
      <c r="P23" s="14"/>
      <c r="Q23" s="18"/>
      <c r="R23" s="14"/>
      <c r="S23" s="14"/>
      <c r="T23" s="14"/>
      <c r="U23" s="14"/>
      <c r="V23" s="14"/>
      <c r="W23" s="14"/>
      <c r="X23" s="14"/>
      <c r="Y23" s="14"/>
      <c r="Z23" s="14"/>
      <c r="AA23" s="14"/>
      <c r="AB23" s="14"/>
    </row>
    <row r="24" spans="2:28" ht="24.95" customHeight="1" thickBot="1" x14ac:dyDescent="0.25">
      <c r="B24" s="10" t="s">
        <v>74</v>
      </c>
      <c r="C24" s="13"/>
      <c r="D24" s="29">
        <f>C22-D22</f>
        <v>74.940000000000055</v>
      </c>
      <c r="M24" s="305" t="str">
        <f>UPPER("Carburant au bloc :")</f>
        <v>CARBURANT AU BLOC :</v>
      </c>
      <c r="N24" s="633">
        <f>Délestage_06+Réserve_Finale_06+Carburant_Roulage_06</f>
        <v>68</v>
      </c>
      <c r="O24" s="590"/>
      <c r="P24" s="595" t="s">
        <v>93</v>
      </c>
      <c r="Q24" s="14"/>
      <c r="R24" s="14"/>
      <c r="S24" s="14"/>
      <c r="T24" s="14"/>
      <c r="U24" s="14"/>
      <c r="V24" s="14"/>
      <c r="W24" s="14"/>
      <c r="X24" s="14"/>
      <c r="Y24" s="14"/>
      <c r="Z24" s="14"/>
      <c r="AA24" s="14"/>
      <c r="AB24" s="14"/>
    </row>
    <row r="25" spans="2:28" ht="24.95" customHeight="1" x14ac:dyDescent="0.2">
      <c r="M25" s="302" t="s">
        <v>139</v>
      </c>
      <c r="N25" s="634">
        <f>((Carburant_Bloc_06)/Durée_Totale_Vol_06)*60</f>
        <v>34</v>
      </c>
      <c r="O25" s="14"/>
      <c r="P25" s="14" t="s">
        <v>89</v>
      </c>
      <c r="Q25" s="591">
        <f>Masse_Décollage_06</f>
        <v>1025.06</v>
      </c>
      <c r="R25" s="14"/>
      <c r="S25" s="14"/>
      <c r="T25" s="14"/>
      <c r="U25" s="14"/>
      <c r="V25" s="14"/>
      <c r="W25" s="14"/>
      <c r="X25" s="14"/>
      <c r="Y25" s="14"/>
      <c r="Z25" s="14"/>
      <c r="AA25" s="14"/>
      <c r="AB25" s="14"/>
    </row>
    <row r="26" spans="2:28" ht="24.95" customHeight="1" x14ac:dyDescent="0.2">
      <c r="M26" s="130" t="s">
        <v>148</v>
      </c>
      <c r="N26" s="635">
        <f>(Carburant_Principal_06+Carburant_Secondaire_06)-Carburant_Bloc_06</f>
        <v>40</v>
      </c>
      <c r="O26" s="588"/>
      <c r="P26" s="14" t="s">
        <v>90</v>
      </c>
      <c r="Q26" s="591">
        <f>Masse_Atterrissage_06</f>
        <v>967.94</v>
      </c>
      <c r="R26" s="14"/>
      <c r="S26" s="14"/>
      <c r="T26" s="14"/>
      <c r="U26" s="14"/>
      <c r="V26" s="14"/>
      <c r="W26" s="14"/>
      <c r="X26" s="14"/>
      <c r="Y26" s="14"/>
      <c r="Z26" s="14"/>
      <c r="AA26" s="14"/>
      <c r="AB26" s="14"/>
    </row>
    <row r="27" spans="2:28" ht="24.95" customHeight="1" thickBot="1" x14ac:dyDescent="0.25">
      <c r="L27" s="12"/>
      <c r="M27" s="262" t="s">
        <v>263</v>
      </c>
      <c r="N27" s="636">
        <f>(Carburant_utilisable_06)-Carburant_Bloc_06</f>
        <v>39</v>
      </c>
      <c r="O27" s="588"/>
      <c r="P27" s="14"/>
      <c r="Q27" s="18"/>
      <c r="R27" s="14"/>
      <c r="S27" s="14"/>
      <c r="T27" s="14"/>
      <c r="U27" s="14"/>
      <c r="V27" s="14"/>
      <c r="W27" s="14"/>
      <c r="X27" s="14"/>
      <c r="Y27" s="14"/>
      <c r="Z27" s="14"/>
      <c r="AA27" s="14"/>
      <c r="AB27" s="14"/>
    </row>
    <row r="28" spans="2:28" ht="24.95" customHeight="1" x14ac:dyDescent="0.2">
      <c r="O28" s="59"/>
      <c r="P28" s="573" t="s">
        <v>142</v>
      </c>
      <c r="Q28" s="34"/>
      <c r="R28" s="574"/>
      <c r="S28" s="34"/>
      <c r="T28" s="34"/>
      <c r="U28" s="34"/>
      <c r="V28" s="34"/>
      <c r="W28" s="34"/>
      <c r="X28" s="34"/>
      <c r="Z28" s="34"/>
      <c r="AA28" s="34"/>
      <c r="AB28" s="34"/>
    </row>
    <row r="29" spans="2:28" ht="24.95" customHeight="1" x14ac:dyDescent="0.2">
      <c r="O29" s="59"/>
      <c r="P29" s="574" t="s">
        <v>100</v>
      </c>
      <c r="Q29" s="578">
        <f>C22</f>
        <v>1100</v>
      </c>
      <c r="R29" s="34"/>
      <c r="S29" s="34"/>
      <c r="T29" s="34"/>
      <c r="U29" s="34"/>
      <c r="V29" s="34"/>
      <c r="W29" s="34"/>
      <c r="X29" s="34"/>
      <c r="Z29" s="34"/>
      <c r="AA29" s="34"/>
      <c r="AB29" s="34"/>
    </row>
    <row r="30" spans="2:28" ht="24.95" customHeight="1" x14ac:dyDescent="0.2">
      <c r="O30" s="59"/>
      <c r="P30" s="574" t="s">
        <v>101</v>
      </c>
      <c r="Q30" s="578">
        <f>D7</f>
        <v>686.34</v>
      </c>
      <c r="R30" s="34"/>
      <c r="S30" s="34"/>
      <c r="T30" s="34"/>
      <c r="U30" s="34"/>
      <c r="V30" s="34"/>
      <c r="W30" s="34"/>
      <c r="X30" s="34"/>
      <c r="Z30" s="34"/>
      <c r="AA30" s="34"/>
      <c r="AB30" s="34"/>
    </row>
    <row r="31" spans="2:28" ht="18" customHeight="1" x14ac:dyDescent="0.2">
      <c r="O31" s="59"/>
      <c r="P31" s="34"/>
      <c r="Q31" s="35"/>
      <c r="R31" s="34"/>
      <c r="S31" s="34"/>
      <c r="T31" s="34"/>
      <c r="U31" s="34"/>
      <c r="V31" s="34"/>
      <c r="W31" s="34"/>
      <c r="X31" s="34"/>
      <c r="Z31" s="34"/>
      <c r="AA31" s="34"/>
      <c r="AB31" s="34"/>
    </row>
    <row r="32" spans="2:28" ht="18" customHeight="1" x14ac:dyDescent="0.2">
      <c r="O32" s="59"/>
      <c r="P32" s="34"/>
      <c r="Q32" s="35"/>
      <c r="R32" s="34"/>
      <c r="S32" s="34"/>
      <c r="T32" s="34"/>
      <c r="U32" s="34"/>
      <c r="V32" s="34"/>
      <c r="W32" s="34"/>
      <c r="X32" s="34"/>
      <c r="Z32" s="34"/>
      <c r="AA32" s="34"/>
      <c r="AB32" s="34"/>
    </row>
    <row r="45" spans="2:25" x14ac:dyDescent="0.2">
      <c r="K45" s="14"/>
      <c r="L45" s="14"/>
      <c r="M45" s="14"/>
      <c r="N45" s="18"/>
      <c r="O45" s="588"/>
      <c r="P45" s="14"/>
      <c r="Q45" s="18"/>
      <c r="R45" s="14"/>
    </row>
    <row r="46" spans="2:25" x14ac:dyDescent="0.2">
      <c r="B46" s="14"/>
      <c r="C46" s="18"/>
      <c r="D46" s="18"/>
      <c r="E46" s="18"/>
      <c r="F46" s="18"/>
      <c r="H46" s="14"/>
      <c r="I46" s="14"/>
      <c r="J46" s="14"/>
      <c r="K46" s="14"/>
      <c r="L46" s="14"/>
      <c r="M46" s="14"/>
      <c r="N46" s="18"/>
      <c r="O46" s="588"/>
      <c r="P46" s="14"/>
      <c r="Q46" s="18"/>
      <c r="R46" s="14"/>
    </row>
    <row r="47" spans="2:25" s="14" customFormat="1" ht="19.5" thickBot="1" x14ac:dyDescent="0.25">
      <c r="C47" s="18"/>
      <c r="D47" s="18"/>
      <c r="E47" s="18"/>
      <c r="F47" s="18"/>
      <c r="N47" s="18"/>
      <c r="O47" s="588"/>
      <c r="Q47" s="18"/>
      <c r="S47" s="67"/>
      <c r="T47" s="67"/>
      <c r="U47" s="67"/>
      <c r="V47" s="67"/>
      <c r="W47" s="67"/>
      <c r="X47" s="10"/>
      <c r="Y47" s="34"/>
    </row>
    <row r="48" spans="2:25" s="14" customFormat="1" x14ac:dyDescent="0.2">
      <c r="C48" s="18"/>
      <c r="D48" s="18"/>
      <c r="E48" s="18"/>
      <c r="F48" s="18"/>
      <c r="M48" s="883" t="s">
        <v>18</v>
      </c>
      <c r="N48" s="884"/>
      <c r="O48" s="588"/>
      <c r="Q48" s="18"/>
      <c r="S48" s="67"/>
      <c r="T48" s="67"/>
      <c r="U48" s="67"/>
      <c r="V48" s="67"/>
      <c r="W48" s="67"/>
      <c r="X48" s="10"/>
      <c r="Y48" s="34"/>
    </row>
    <row r="49" spans="3:25" s="14" customFormat="1" x14ac:dyDescent="0.2">
      <c r="C49" s="18"/>
      <c r="D49" s="18"/>
      <c r="E49" s="18"/>
      <c r="F49" s="18"/>
      <c r="M49" s="164"/>
      <c r="N49" s="165"/>
      <c r="O49" s="588"/>
      <c r="Q49" s="18"/>
      <c r="S49" s="67"/>
      <c r="T49" s="67"/>
      <c r="U49" s="67"/>
      <c r="V49" s="67"/>
      <c r="W49" s="67"/>
      <c r="X49" s="10"/>
      <c r="Y49" s="34"/>
    </row>
    <row r="50" spans="3:25" s="14" customFormat="1" x14ac:dyDescent="0.2">
      <c r="C50" s="18"/>
      <c r="D50" s="18"/>
      <c r="E50" s="18"/>
      <c r="F50" s="18"/>
      <c r="M50" s="166"/>
      <c r="N50" s="167"/>
      <c r="O50" s="588"/>
      <c r="Q50" s="18"/>
      <c r="S50" s="67"/>
      <c r="T50" s="67"/>
      <c r="U50" s="67"/>
      <c r="V50" s="67"/>
      <c r="W50" s="67"/>
      <c r="X50" s="10"/>
      <c r="Y50" s="34"/>
    </row>
    <row r="51" spans="3:25" s="14" customFormat="1" x14ac:dyDescent="0.2">
      <c r="C51" s="18"/>
      <c r="D51" s="18"/>
      <c r="E51" s="18"/>
      <c r="F51" s="18"/>
      <c r="M51" s="166"/>
      <c r="N51" s="167"/>
      <c r="O51" s="588"/>
      <c r="Q51" s="18"/>
      <c r="S51" s="67"/>
      <c r="T51" s="67"/>
      <c r="U51" s="67"/>
      <c r="V51" s="67"/>
      <c r="W51" s="67"/>
      <c r="X51" s="10"/>
      <c r="Y51" s="34"/>
    </row>
    <row r="52" spans="3:25" s="14" customFormat="1" x14ac:dyDescent="0.2">
      <c r="C52" s="18"/>
      <c r="D52" s="18"/>
      <c r="E52" s="18"/>
      <c r="F52" s="18"/>
      <c r="M52" s="166"/>
      <c r="N52" s="167"/>
      <c r="O52" s="588"/>
      <c r="Q52" s="18"/>
      <c r="S52" s="67"/>
      <c r="T52" s="67"/>
      <c r="U52" s="67"/>
      <c r="V52" s="67"/>
      <c r="W52" s="67"/>
      <c r="X52" s="10"/>
      <c r="Y52" s="34"/>
    </row>
    <row r="53" spans="3:25" s="14" customFormat="1" x14ac:dyDescent="0.2">
      <c r="C53" s="18"/>
      <c r="D53" s="18"/>
      <c r="E53" s="18"/>
      <c r="F53" s="18"/>
      <c r="M53" s="166"/>
      <c r="N53" s="167"/>
      <c r="O53" s="588"/>
      <c r="Q53" s="18"/>
      <c r="S53" s="67"/>
      <c r="T53" s="67"/>
      <c r="U53" s="67"/>
      <c r="V53" s="67"/>
      <c r="W53" s="67"/>
      <c r="X53" s="10"/>
      <c r="Y53" s="34"/>
    </row>
    <row r="54" spans="3:25" s="14" customFormat="1" x14ac:dyDescent="0.2">
      <c r="C54" s="18"/>
      <c r="D54" s="18"/>
      <c r="E54" s="18"/>
      <c r="F54" s="18"/>
      <c r="M54" s="166"/>
      <c r="N54" s="167"/>
      <c r="O54" s="588"/>
      <c r="Q54" s="18"/>
      <c r="S54" s="67"/>
      <c r="T54" s="67"/>
      <c r="U54" s="67"/>
      <c r="V54" s="67"/>
      <c r="W54" s="67"/>
      <c r="X54" s="10"/>
      <c r="Y54" s="34"/>
    </row>
    <row r="55" spans="3:25" s="14" customFormat="1" ht="19.5" thickBot="1" x14ac:dyDescent="0.25">
      <c r="C55" s="18"/>
      <c r="D55" s="18"/>
      <c r="E55" s="18"/>
      <c r="F55" s="18"/>
      <c r="L55" s="675"/>
      <c r="M55" s="168"/>
      <c r="N55" s="169"/>
      <c r="O55" s="588"/>
      <c r="Q55" s="18"/>
      <c r="S55" s="67"/>
      <c r="T55" s="67"/>
      <c r="U55" s="67"/>
      <c r="V55" s="67"/>
      <c r="W55" s="67"/>
      <c r="X55" s="10"/>
      <c r="Y55" s="34"/>
    </row>
    <row r="56" spans="3:25" s="14" customFormat="1" x14ac:dyDescent="0.2">
      <c r="C56" s="18"/>
      <c r="D56" s="18"/>
      <c r="E56" s="18"/>
      <c r="F56" s="18"/>
      <c r="N56" s="18"/>
      <c r="O56" s="588"/>
      <c r="Q56" s="18"/>
      <c r="S56" s="67"/>
      <c r="T56" s="67"/>
      <c r="U56" s="67"/>
      <c r="V56" s="67"/>
      <c r="W56" s="67"/>
      <c r="X56" s="10"/>
      <c r="Y56" s="34"/>
    </row>
    <row r="57" spans="3:25" s="14" customFormat="1" x14ac:dyDescent="0.2">
      <c r="C57" s="18"/>
      <c r="D57" s="18"/>
      <c r="E57" s="18"/>
      <c r="F57" s="18"/>
      <c r="N57" s="18"/>
      <c r="O57" s="588"/>
      <c r="Q57" s="18"/>
      <c r="S57" s="67"/>
      <c r="T57" s="67"/>
      <c r="U57" s="67"/>
      <c r="V57" s="67"/>
      <c r="W57" s="67"/>
      <c r="X57" s="10"/>
      <c r="Y57" s="34"/>
    </row>
    <row r="58" spans="3:25" s="14" customFormat="1" x14ac:dyDescent="0.2">
      <c r="C58" s="18"/>
      <c r="D58" s="18"/>
      <c r="E58" s="18"/>
      <c r="F58" s="18"/>
      <c r="N58" s="18"/>
      <c r="O58" s="588"/>
      <c r="Q58" s="18"/>
      <c r="S58" s="67"/>
      <c r="T58" s="67"/>
      <c r="U58" s="67"/>
      <c r="V58" s="67"/>
      <c r="W58" s="67"/>
      <c r="X58" s="10"/>
      <c r="Y58" s="34"/>
    </row>
    <row r="59" spans="3:25" s="14" customFormat="1" x14ac:dyDescent="0.2">
      <c r="C59" s="18"/>
      <c r="D59" s="18"/>
      <c r="E59" s="18"/>
      <c r="F59" s="18"/>
      <c r="N59" s="18"/>
      <c r="O59" s="588"/>
      <c r="Q59" s="18"/>
      <c r="S59" s="67"/>
      <c r="T59" s="67"/>
      <c r="U59" s="67"/>
      <c r="V59" s="67"/>
      <c r="W59" s="67"/>
      <c r="X59" s="10"/>
      <c r="Y59" s="34"/>
    </row>
    <row r="60" spans="3:25" s="14" customFormat="1" x14ac:dyDescent="0.2">
      <c r="C60" s="18"/>
      <c r="D60" s="18"/>
      <c r="E60" s="18"/>
      <c r="F60" s="18"/>
      <c r="N60" s="18"/>
      <c r="O60" s="588"/>
      <c r="Q60" s="18"/>
      <c r="S60" s="67"/>
      <c r="T60" s="67"/>
      <c r="U60" s="67"/>
      <c r="V60" s="67"/>
      <c r="W60" s="67"/>
      <c r="X60" s="10"/>
      <c r="Y60" s="34"/>
    </row>
    <row r="61" spans="3:25" s="14" customFormat="1" x14ac:dyDescent="0.2">
      <c r="C61" s="18"/>
      <c r="D61" s="18"/>
      <c r="E61" s="18"/>
      <c r="F61" s="18"/>
      <c r="N61" s="18"/>
      <c r="O61" s="588"/>
      <c r="Q61" s="18"/>
      <c r="S61" s="67"/>
      <c r="T61" s="67"/>
      <c r="U61" s="67"/>
      <c r="V61" s="67"/>
      <c r="W61" s="67"/>
      <c r="X61" s="10"/>
      <c r="Y61" s="34"/>
    </row>
    <row r="62" spans="3:25" s="14" customFormat="1" x14ac:dyDescent="0.2">
      <c r="C62" s="18"/>
      <c r="D62" s="18"/>
      <c r="E62" s="18"/>
      <c r="F62" s="18"/>
      <c r="N62" s="18"/>
      <c r="O62" s="78"/>
      <c r="P62" s="67"/>
      <c r="Q62" s="68"/>
      <c r="R62" s="67"/>
      <c r="S62" s="67"/>
      <c r="T62" s="67"/>
      <c r="U62" s="67"/>
      <c r="V62" s="67"/>
      <c r="W62" s="67"/>
      <c r="X62" s="10"/>
      <c r="Y62" s="34"/>
    </row>
    <row r="63" spans="3:25" s="14" customFormat="1" x14ac:dyDescent="0.2">
      <c r="C63" s="18"/>
      <c r="D63" s="18"/>
      <c r="E63" s="18"/>
      <c r="F63" s="18"/>
      <c r="N63" s="18"/>
      <c r="O63" s="78"/>
      <c r="P63" s="67"/>
      <c r="Q63" s="68"/>
      <c r="R63" s="67"/>
      <c r="S63" s="67"/>
      <c r="T63" s="67"/>
      <c r="U63" s="67"/>
      <c r="V63" s="67"/>
      <c r="W63" s="67"/>
      <c r="X63" s="10"/>
      <c r="Y63" s="34"/>
    </row>
    <row r="64" spans="3:25" s="14" customFormat="1" x14ac:dyDescent="0.2">
      <c r="C64" s="18"/>
      <c r="D64" s="18"/>
      <c r="E64" s="18"/>
      <c r="F64" s="18"/>
      <c r="N64" s="18"/>
      <c r="O64" s="78"/>
      <c r="P64" s="67"/>
      <c r="Q64" s="68"/>
      <c r="R64" s="67"/>
      <c r="S64" s="67"/>
      <c r="T64" s="67"/>
      <c r="U64" s="67"/>
      <c r="V64" s="67"/>
      <c r="W64" s="67"/>
      <c r="X64" s="10"/>
      <c r="Y64" s="34"/>
    </row>
    <row r="65" spans="2:25" s="14" customFormat="1" x14ac:dyDescent="0.2">
      <c r="C65" s="18"/>
      <c r="D65" s="18"/>
      <c r="E65" s="18"/>
      <c r="F65" s="18"/>
      <c r="N65" s="18"/>
      <c r="O65" s="78"/>
      <c r="P65" s="67"/>
      <c r="Q65" s="68"/>
      <c r="R65" s="67"/>
      <c r="S65" s="67"/>
      <c r="T65" s="67"/>
      <c r="U65" s="67"/>
      <c r="V65" s="67"/>
      <c r="W65" s="67"/>
      <c r="X65" s="10"/>
      <c r="Y65" s="34"/>
    </row>
    <row r="66" spans="2:25" s="14" customFormat="1" x14ac:dyDescent="0.2">
      <c r="C66" s="18"/>
      <c r="D66" s="18"/>
      <c r="E66" s="18"/>
      <c r="F66" s="18"/>
      <c r="N66" s="18"/>
      <c r="O66" s="78"/>
      <c r="P66" s="67"/>
      <c r="Q66" s="68"/>
      <c r="R66" s="67"/>
      <c r="S66" s="67"/>
      <c r="T66" s="67"/>
      <c r="U66" s="67"/>
      <c r="V66" s="67"/>
      <c r="W66" s="67"/>
      <c r="X66" s="10"/>
      <c r="Y66" s="34"/>
    </row>
    <row r="67" spans="2:25" s="14" customFormat="1" x14ac:dyDescent="0.2">
      <c r="C67" s="18"/>
      <c r="D67" s="18"/>
      <c r="E67" s="18"/>
      <c r="F67" s="18"/>
      <c r="N67" s="18"/>
      <c r="O67" s="78"/>
      <c r="P67" s="67"/>
      <c r="Q67" s="68"/>
      <c r="R67" s="67"/>
      <c r="S67" s="67"/>
      <c r="T67" s="67"/>
      <c r="U67" s="67"/>
      <c r="V67" s="67"/>
      <c r="W67" s="67"/>
      <c r="X67" s="10"/>
      <c r="Y67" s="34"/>
    </row>
    <row r="68" spans="2:25" s="14" customFormat="1" x14ac:dyDescent="0.2">
      <c r="C68" s="18"/>
      <c r="D68" s="18"/>
      <c r="E68" s="18"/>
      <c r="F68" s="18"/>
      <c r="N68" s="18"/>
      <c r="O68" s="78"/>
      <c r="P68" s="67"/>
      <c r="Q68" s="68"/>
      <c r="R68" s="67"/>
      <c r="S68" s="67"/>
      <c r="T68" s="67"/>
      <c r="U68" s="67"/>
      <c r="V68" s="67"/>
      <c r="W68" s="67"/>
      <c r="X68" s="10"/>
      <c r="Y68" s="34"/>
    </row>
    <row r="69" spans="2:25" s="14" customFormat="1" x14ac:dyDescent="0.2">
      <c r="C69" s="18"/>
      <c r="D69" s="18"/>
      <c r="E69" s="18"/>
      <c r="F69" s="18"/>
      <c r="N69" s="18"/>
      <c r="O69" s="78"/>
      <c r="P69" s="67"/>
      <c r="Q69" s="68"/>
      <c r="R69" s="67"/>
      <c r="S69" s="67"/>
      <c r="T69" s="67"/>
      <c r="U69" s="67"/>
      <c r="V69" s="67"/>
      <c r="W69" s="67"/>
      <c r="X69" s="10"/>
      <c r="Y69" s="34"/>
    </row>
    <row r="70" spans="2:25" s="14" customFormat="1" x14ac:dyDescent="0.2">
      <c r="C70" s="18"/>
      <c r="D70" s="18"/>
      <c r="E70" s="18"/>
      <c r="F70" s="18"/>
      <c r="N70" s="18"/>
      <c r="O70" s="78"/>
      <c r="P70" s="67"/>
      <c r="Q70" s="68"/>
      <c r="R70" s="67"/>
      <c r="S70" s="67"/>
      <c r="T70" s="67"/>
      <c r="U70" s="67"/>
      <c r="V70" s="67"/>
      <c r="W70" s="67"/>
      <c r="X70" s="10"/>
      <c r="Y70" s="34"/>
    </row>
    <row r="71" spans="2:25" s="14" customFormat="1" x14ac:dyDescent="0.2">
      <c r="C71" s="18"/>
      <c r="D71" s="18"/>
      <c r="E71" s="18"/>
      <c r="F71" s="18"/>
      <c r="N71" s="18"/>
      <c r="O71" s="78"/>
      <c r="P71" s="67"/>
      <c r="Q71" s="68"/>
      <c r="R71" s="67"/>
      <c r="S71" s="67"/>
      <c r="T71" s="67"/>
      <c r="U71" s="67"/>
      <c r="V71" s="67"/>
      <c r="W71" s="67"/>
      <c r="X71" s="10"/>
      <c r="Y71" s="34"/>
    </row>
    <row r="72" spans="2:25" s="14" customFormat="1" x14ac:dyDescent="0.2">
      <c r="C72" s="18"/>
      <c r="D72" s="18"/>
      <c r="E72" s="18"/>
      <c r="F72" s="18"/>
      <c r="N72" s="18"/>
      <c r="O72" s="78"/>
      <c r="P72" s="67"/>
      <c r="Q72" s="68"/>
      <c r="R72" s="67"/>
      <c r="S72" s="67"/>
      <c r="T72" s="67"/>
      <c r="U72" s="67"/>
      <c r="V72" s="67"/>
      <c r="W72" s="67"/>
      <c r="X72" s="10"/>
      <c r="Y72" s="34"/>
    </row>
    <row r="73" spans="2:25" s="14" customFormat="1" x14ac:dyDescent="0.2">
      <c r="C73" s="18"/>
      <c r="D73" s="18"/>
      <c r="E73" s="18"/>
      <c r="F73" s="18"/>
      <c r="N73" s="18"/>
      <c r="O73" s="78"/>
      <c r="P73" s="67"/>
      <c r="Q73" s="68"/>
      <c r="R73" s="67"/>
      <c r="S73" s="67"/>
      <c r="T73" s="67"/>
      <c r="U73" s="67"/>
      <c r="V73" s="67"/>
      <c r="W73" s="67"/>
      <c r="X73" s="10"/>
      <c r="Y73" s="34"/>
    </row>
    <row r="74" spans="2:25" s="14" customFormat="1" x14ac:dyDescent="0.2">
      <c r="C74" s="18"/>
      <c r="D74" s="18"/>
      <c r="E74" s="18"/>
      <c r="F74" s="18"/>
      <c r="N74" s="18"/>
      <c r="O74" s="78"/>
      <c r="P74" s="67"/>
      <c r="Q74" s="68"/>
      <c r="R74" s="67"/>
      <c r="S74" s="67"/>
      <c r="T74" s="67"/>
      <c r="U74" s="67"/>
      <c r="V74" s="67"/>
      <c r="W74" s="67"/>
      <c r="X74" s="10"/>
      <c r="Y74" s="34"/>
    </row>
    <row r="75" spans="2:25" s="14" customFormat="1" x14ac:dyDescent="0.2">
      <c r="C75" s="18"/>
      <c r="D75" s="18"/>
      <c r="E75" s="18"/>
      <c r="F75" s="18"/>
      <c r="N75" s="18"/>
      <c r="O75" s="78"/>
      <c r="P75" s="67"/>
      <c r="Q75" s="68"/>
      <c r="R75" s="67"/>
      <c r="S75" s="67"/>
      <c r="T75" s="67"/>
      <c r="U75" s="67"/>
      <c r="V75" s="67"/>
      <c r="W75" s="67"/>
      <c r="X75" s="10"/>
      <c r="Y75" s="34"/>
    </row>
    <row r="76" spans="2:25" s="14" customFormat="1" x14ac:dyDescent="0.2">
      <c r="B76" s="1"/>
      <c r="C76" s="24"/>
      <c r="D76" s="24"/>
      <c r="E76" s="24"/>
      <c r="F76" s="24"/>
      <c r="H76" s="1"/>
      <c r="I76" s="1"/>
      <c r="J76" s="1"/>
      <c r="K76" s="1"/>
      <c r="M76" s="1"/>
      <c r="N76" s="24"/>
      <c r="O76" s="78"/>
      <c r="P76" s="67"/>
      <c r="Q76" s="68"/>
      <c r="R76" s="67"/>
      <c r="S76" s="67"/>
      <c r="T76" s="67"/>
      <c r="U76" s="67"/>
      <c r="V76" s="67"/>
      <c r="W76" s="67"/>
      <c r="X76" s="10"/>
      <c r="Y76" s="34"/>
    </row>
  </sheetData>
  <sheetProtection algorithmName="SHA-512" hashValue="xbuN1Uz//MDDa/2NOhtK2rbW8ZfxawAeGpbrG957EC5/unyuTl4Rne4V8Am83xpZ5GsDbbt9bq4IuQLX/os6/Q==" saltValue="4ZFsKYUSfRA+y7raDkQyFg==" spinCount="100000" sheet="1" objects="1" scenarios="1" selectLockedCells="1"/>
  <mergeCells count="37">
    <mergeCell ref="E23:F23"/>
    <mergeCell ref="M21:N21"/>
    <mergeCell ref="B16:F16"/>
    <mergeCell ref="E22:F22"/>
    <mergeCell ref="B21:C21"/>
    <mergeCell ref="D17:E17"/>
    <mergeCell ref="H18:J18"/>
    <mergeCell ref="D18:E18"/>
    <mergeCell ref="B20:F20"/>
    <mergeCell ref="E21:F21"/>
    <mergeCell ref="B19:F19"/>
    <mergeCell ref="H19:K19"/>
    <mergeCell ref="H17:J17"/>
    <mergeCell ref="M48:N48"/>
    <mergeCell ref="M15:N15"/>
    <mergeCell ref="B1:N1"/>
    <mergeCell ref="B2:C2"/>
    <mergeCell ref="D2:E2"/>
    <mergeCell ref="G2:H2"/>
    <mergeCell ref="I2:J2"/>
    <mergeCell ref="M2:N2"/>
    <mergeCell ref="B3:C3"/>
    <mergeCell ref="D3:F3"/>
    <mergeCell ref="I3:J3"/>
    <mergeCell ref="M3:N3"/>
    <mergeCell ref="C5:F5"/>
    <mergeCell ref="H5:K5"/>
    <mergeCell ref="M4:N4"/>
    <mergeCell ref="M5:N5"/>
    <mergeCell ref="R7:S7"/>
    <mergeCell ref="H14:K14"/>
    <mergeCell ref="H16:I16"/>
    <mergeCell ref="J16:K16"/>
    <mergeCell ref="R15:V15"/>
    <mergeCell ref="M13:N13"/>
    <mergeCell ref="M14:N14"/>
    <mergeCell ref="H15:I15"/>
  </mergeCells>
  <conditionalFormatting sqref="B16:F16">
    <cfRule type="cellIs" dxfId="188" priority="45" operator="equal">
      <formula>"* ATTENTION ! Le total carburant est supérieur à la capacité totale !"</formula>
    </cfRule>
  </conditionalFormatting>
  <conditionalFormatting sqref="B19:F19">
    <cfRule type="cellIs" dxfId="187" priority="44" operator="equal">
      <formula>"* ATTENTION ! La masse max au décollage est dépassée !"</formula>
    </cfRule>
  </conditionalFormatting>
  <conditionalFormatting sqref="C15">
    <cfRule type="cellIs" dxfId="186" priority="28" operator="greaterThan">
      <formula>160</formula>
    </cfRule>
  </conditionalFormatting>
  <conditionalFormatting sqref="D12">
    <cfRule type="cellIs" dxfId="185" priority="2" operator="greaterThan">
      <formula>40</formula>
    </cfRule>
  </conditionalFormatting>
  <conditionalFormatting sqref="D15">
    <cfRule type="cellIs" dxfId="184" priority="6" operator="greaterThan">
      <formula>$C$22</formula>
    </cfRule>
  </conditionalFormatting>
  <conditionalFormatting sqref="D22">
    <cfRule type="cellIs" dxfId="183" priority="34" operator="greaterThan">
      <formula>$C$22</formula>
    </cfRule>
  </conditionalFormatting>
  <conditionalFormatting sqref="D23">
    <cfRule type="cellIs" dxfId="182" priority="33" operator="greaterThan">
      <formula>$C$23</formula>
    </cfRule>
  </conditionalFormatting>
  <conditionalFormatting sqref="E22:E23">
    <cfRule type="cellIs" dxfId="181" priority="35" operator="equal">
      <formula>"DANGER !"</formula>
    </cfRule>
    <cfRule type="cellIs" dxfId="180" priority="36" operator="equal">
      <formula>"Ok !"</formula>
    </cfRule>
  </conditionalFormatting>
  <conditionalFormatting sqref="F15">
    <cfRule type="cellIs" dxfId="179" priority="27" operator="greaterThan">
      <formula>564</formula>
    </cfRule>
  </conditionalFormatting>
  <conditionalFormatting sqref="F17">
    <cfRule type="cellIs" dxfId="178" priority="52" operator="greaterThan">
      <formula>1100</formula>
    </cfRule>
    <cfRule type="cellIs" dxfId="177" priority="55" operator="equal">
      <formula>"DANGER"</formula>
    </cfRule>
  </conditionalFormatting>
  <conditionalFormatting sqref="F18">
    <cfRule type="cellIs" dxfId="176" priority="51" operator="greaterThan">
      <formula>564</formula>
    </cfRule>
  </conditionalFormatting>
  <conditionalFormatting sqref="H19">
    <cfRule type="cellIs" dxfId="175" priority="42" operator="equal">
      <formula>"* DANGER : Avion hors centrage arrière, INTERDICTION de décoller !"</formula>
    </cfRule>
  </conditionalFormatting>
  <conditionalFormatting sqref="H14:K14">
    <cfRule type="cellIs" dxfId="174" priority="8" operator="equal">
      <formula>"* Minimum 1 aérodrome de destination"</formula>
    </cfRule>
  </conditionalFormatting>
  <conditionalFormatting sqref="J16">
    <cfRule type="cellIs" dxfId="173" priority="1" operator="equal">
      <formula>"Erreur !"</formula>
    </cfRule>
  </conditionalFormatting>
  <conditionalFormatting sqref="K17">
    <cfRule type="expression" dxfId="172" priority="84">
      <formula>$N$27&lt;0</formula>
    </cfRule>
    <cfRule type="expression" dxfId="171" priority="85">
      <formula>$K$17&gt;$Q$12</formula>
    </cfRule>
  </conditionalFormatting>
  <conditionalFormatting sqref="K18">
    <cfRule type="cellIs" dxfId="170" priority="9" operator="lessThanOrEqual">
      <formula>0</formula>
    </cfRule>
  </conditionalFormatting>
  <conditionalFormatting sqref="M15">
    <cfRule type="cellIs" dxfId="169" priority="53" operator="equal">
      <formula>"DANGER - Total carburant insuffisant !"</formula>
    </cfRule>
    <cfRule type="cellIs" dxfId="168" priority="56" operator="equal">
      <formula>"OK - Quantité de carburant suffisante"</formula>
    </cfRule>
  </conditionalFormatting>
  <conditionalFormatting sqref="M21">
    <cfRule type="cellIs" dxfId="167" priority="4" operator="equal">
      <formula>"** Réserve finale de carburant de 45 mn"</formula>
    </cfRule>
    <cfRule type="cellIs" dxfId="166" priority="5" operator="equal">
      <formula>"** Réserve finale de carburant de 30 mn"</formula>
    </cfRule>
  </conditionalFormatting>
  <conditionalFormatting sqref="M13:N13">
    <cfRule type="cellIs" dxfId="165" priority="37" operator="equal">
      <formula>"Capacité réservoirs respectée !"</formula>
    </cfRule>
    <cfRule type="cellIs" dxfId="164" priority="38" operator="equal">
      <formula>"ERREUR capacité réservoirs !"</formula>
    </cfRule>
  </conditionalFormatting>
  <conditionalFormatting sqref="N7">
    <cfRule type="cellIs" dxfId="163" priority="54" operator="greaterThan">
      <formula>160</formula>
    </cfRule>
  </conditionalFormatting>
  <conditionalFormatting sqref="N8">
    <cfRule type="cellIs" dxfId="162" priority="32" operator="greaterThan">
      <formula>110</formula>
    </cfRule>
  </conditionalFormatting>
  <conditionalFormatting sqref="N9">
    <cfRule type="cellIs" dxfId="161" priority="31" operator="greaterThan">
      <formula>50</formula>
    </cfRule>
  </conditionalFormatting>
  <conditionalFormatting sqref="N10">
    <cfRule type="cellIs" dxfId="160" priority="41" operator="greaterThan">
      <formula>159</formula>
    </cfRule>
  </conditionalFormatting>
  <conditionalFormatting sqref="N24">
    <cfRule type="expression" dxfId="159" priority="72">
      <formula>$N$26&gt;$N$10</formula>
    </cfRule>
  </conditionalFormatting>
  <conditionalFormatting sqref="N26:N27">
    <cfRule type="cellIs" dxfId="158" priority="13" operator="lessThan">
      <formula>0</formula>
    </cfRule>
  </conditionalFormatting>
  <conditionalFormatting sqref="S12:S13">
    <cfRule type="cellIs" dxfId="157" priority="3" operator="lessThan">
      <formula>0</formula>
    </cfRule>
  </conditionalFormatting>
  <dataValidations count="1">
    <dataValidation type="list" allowBlank="1" showInputMessage="1" showErrorMessage="1" sqref="N19" xr:uid="{B97A1A6F-DAB1-4076-A3FF-B62457CD5418}">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6" orientation="landscape" horizontalDpi="300" verticalDpi="300" r:id="rId1"/>
  <headerFooter alignWithMargins="0">
    <oddFooter>&amp;CDate d'édition : &amp;D</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66C79-7F8A-40BE-BA64-DEFA09390AC2}">
  <sheetPr>
    <tabColor theme="5" tint="-0.499984740745262"/>
    <pageSetUpPr fitToPage="1"/>
  </sheetPr>
  <dimension ref="B1:Y57"/>
  <sheetViews>
    <sheetView showGridLines="0" topLeftCell="B1" zoomScale="85" zoomScaleNormal="85" workbookViewId="0">
      <pane ySplit="3" topLeftCell="A7" activePane="bottomLeft" state="frozenSplit"/>
      <selection activeCell="C3" sqref="C3:E3"/>
      <selection pane="bottomLeft" activeCell="K17" sqref="K17"/>
    </sheetView>
  </sheetViews>
  <sheetFormatPr baseColWidth="10" defaultRowHeight="18.75" x14ac:dyDescent="0.2"/>
  <cols>
    <col min="1" max="1" width="42.7109375" style="1" customWidth="1"/>
    <col min="2" max="2" width="29.140625" style="1" bestFit="1" customWidth="1"/>
    <col min="3" max="6" width="15.7109375" style="24"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4" customWidth="1"/>
    <col min="15" max="15" width="5.7109375" style="78" customWidth="1"/>
    <col min="16" max="16" width="23.42578125" style="67" hidden="1" customWidth="1"/>
    <col min="17" max="17" width="14.85546875" style="68" hidden="1" customWidth="1"/>
    <col min="18" max="18" width="35.28515625" style="67" bestFit="1" customWidth="1"/>
    <col min="19" max="19" width="16.7109375" style="67" customWidth="1"/>
    <col min="20" max="20" width="16.7109375" style="74" customWidth="1"/>
    <col min="21" max="21" width="19.85546875" style="67" bestFit="1" customWidth="1"/>
    <col min="22" max="22" width="23.7109375" style="67" customWidth="1"/>
    <col min="23" max="23" width="19.5703125" style="10" bestFit="1" customWidth="1"/>
    <col min="24" max="24" width="23.85546875" style="10" bestFit="1" customWidth="1"/>
    <col min="25"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5" s="7" customFormat="1" ht="50.1" customHeight="1" thickBot="1" x14ac:dyDescent="0.25">
      <c r="B1" s="779" t="s">
        <v>250</v>
      </c>
      <c r="C1" s="780"/>
      <c r="D1" s="780"/>
      <c r="E1" s="780"/>
      <c r="F1" s="780"/>
      <c r="G1" s="780"/>
      <c r="H1" s="780"/>
      <c r="I1" s="780"/>
      <c r="J1" s="780"/>
      <c r="K1" s="780"/>
      <c r="L1" s="780"/>
      <c r="M1" s="780"/>
      <c r="N1" s="781"/>
      <c r="O1" s="77"/>
      <c r="P1" s="64"/>
      <c r="Q1" s="65"/>
      <c r="R1" s="64"/>
      <c r="S1" s="64"/>
      <c r="T1" s="84"/>
      <c r="U1" s="64"/>
      <c r="V1" s="64"/>
      <c r="W1" s="9"/>
      <c r="X1" s="9"/>
    </row>
    <row r="2" spans="2:25" ht="24.95" customHeight="1" thickBot="1" x14ac:dyDescent="0.25">
      <c r="B2" s="934" t="s">
        <v>16</v>
      </c>
      <c r="C2" s="934"/>
      <c r="D2" s="935">
        <v>43498</v>
      </c>
      <c r="E2" s="936"/>
      <c r="G2" s="934" t="s">
        <v>35</v>
      </c>
      <c r="H2" s="934"/>
      <c r="I2" s="937">
        <f ca="1">NOW()</f>
        <v>45720.672637847223</v>
      </c>
      <c r="J2" s="937"/>
      <c r="K2" s="8"/>
      <c r="M2" s="866" t="s">
        <v>19</v>
      </c>
      <c r="N2" s="866"/>
    </row>
    <row r="3" spans="2:25" ht="24.95" customHeight="1" thickBot="1" x14ac:dyDescent="0.25">
      <c r="B3" s="867" t="s">
        <v>17</v>
      </c>
      <c r="C3" s="867"/>
      <c r="D3" s="841">
        <v>44981</v>
      </c>
      <c r="E3" s="842"/>
      <c r="F3" s="843"/>
      <c r="H3" s="686" t="s">
        <v>244</v>
      </c>
      <c r="I3" s="844">
        <v>0.47569444444444442</v>
      </c>
      <c r="J3" s="845"/>
      <c r="M3" s="846"/>
      <c r="N3" s="847"/>
    </row>
    <row r="4" spans="2:25" ht="24.95" customHeight="1" thickBot="1" x14ac:dyDescent="0.25">
      <c r="C4" s="1"/>
      <c r="D4" s="1"/>
      <c r="E4" s="1"/>
      <c r="F4" s="1"/>
      <c r="M4" s="848">
        <f>IF((Capacité_carburant_Max_07-Carburant_utilisable_07)&gt;0,Capacité_carburant_Max_07-Carburant_utilisable_07,"Tout le carburant est utilisable.")</f>
        <v>10.399999999999999</v>
      </c>
      <c r="N4" s="848"/>
    </row>
    <row r="5" spans="2:25" ht="24.95" customHeight="1" thickBot="1" x14ac:dyDescent="0.25">
      <c r="C5" s="874" t="s">
        <v>50</v>
      </c>
      <c r="D5" s="875"/>
      <c r="E5" s="875"/>
      <c r="F5" s="876"/>
      <c r="H5" s="967" t="str">
        <f>UPPER("Génération du graphique")</f>
        <v>GÉNÉRATION DU GRAPHIQUE</v>
      </c>
      <c r="I5" s="968"/>
      <c r="J5" s="968"/>
      <c r="K5" s="969"/>
      <c r="L5" s="2"/>
      <c r="M5" s="829" t="s">
        <v>42</v>
      </c>
      <c r="N5" s="831"/>
      <c r="O5" s="81"/>
      <c r="P5" s="67" t="s">
        <v>14</v>
      </c>
    </row>
    <row r="6" spans="2:25" s="2" customFormat="1" ht="39" customHeight="1" thickBot="1" x14ac:dyDescent="0.25">
      <c r="B6" s="4"/>
      <c r="C6" s="430" t="s">
        <v>0</v>
      </c>
      <c r="D6" s="431" t="s">
        <v>11</v>
      </c>
      <c r="E6" s="431" t="s">
        <v>10</v>
      </c>
      <c r="F6" s="432" t="s">
        <v>9</v>
      </c>
      <c r="H6" s="386" t="s">
        <v>104</v>
      </c>
      <c r="I6" s="387" t="s">
        <v>2</v>
      </c>
      <c r="J6" s="387" t="s">
        <v>3</v>
      </c>
      <c r="K6" s="321" t="s">
        <v>13</v>
      </c>
      <c r="L6" s="1"/>
      <c r="M6" s="419" t="s">
        <v>118</v>
      </c>
      <c r="N6" s="251">
        <v>0.72</v>
      </c>
      <c r="O6" s="216"/>
      <c r="P6" s="71" t="s">
        <v>15</v>
      </c>
      <c r="Q6" s="72"/>
      <c r="T6" s="85"/>
      <c r="U6" s="71"/>
      <c r="V6" s="71"/>
      <c r="W6" s="11"/>
      <c r="X6" s="11"/>
    </row>
    <row r="7" spans="2:25" ht="24.95" customHeight="1" thickBot="1" x14ac:dyDescent="0.25">
      <c r="B7" s="334" t="s">
        <v>1</v>
      </c>
      <c r="C7" s="356"/>
      <c r="D7" s="351">
        <v>519</v>
      </c>
      <c r="E7" s="330">
        <v>0.44334000000000001</v>
      </c>
      <c r="F7" s="331">
        <f>E7*D7</f>
        <v>230.09345999999999</v>
      </c>
      <c r="H7" s="388" t="s">
        <v>86</v>
      </c>
      <c r="I7" s="389">
        <f>F7</f>
        <v>230.09345999999999</v>
      </c>
      <c r="J7" s="390">
        <f>Masse_à_vide_07</f>
        <v>519</v>
      </c>
      <c r="K7" s="391">
        <f t="shared" ref="K7:K12" si="0">I7/J7</f>
        <v>0.44334000000000001</v>
      </c>
      <c r="M7" s="254" t="s">
        <v>49</v>
      </c>
      <c r="N7" s="627">
        <f>Carburant_Aile_Gauche_07+Carburant_Aile_Droite_07</f>
        <v>70</v>
      </c>
      <c r="R7" s="849" t="str">
        <f>UPPER("Moment à l'atterrissage")</f>
        <v>MOMENT À L'ATTERRISSAGE</v>
      </c>
      <c r="S7" s="850"/>
      <c r="T7" s="131" t="s">
        <v>11</v>
      </c>
      <c r="U7" s="131" t="s">
        <v>10</v>
      </c>
      <c r="V7" s="132" t="s">
        <v>9</v>
      </c>
    </row>
    <row r="8" spans="2:25" ht="24.95" customHeight="1" x14ac:dyDescent="0.2">
      <c r="B8" s="270" t="s">
        <v>4</v>
      </c>
      <c r="C8" s="357"/>
      <c r="D8" s="353">
        <v>74</v>
      </c>
      <c r="E8" s="350">
        <v>0.51400000000000001</v>
      </c>
      <c r="F8" s="333">
        <f>E8*D8</f>
        <v>38.036000000000001</v>
      </c>
      <c r="H8" s="236" t="s">
        <v>81</v>
      </c>
      <c r="I8" s="346">
        <v>315</v>
      </c>
      <c r="J8" s="238">
        <f>Masse_Max_Décollage_07</f>
        <v>750</v>
      </c>
      <c r="K8" s="239">
        <f t="shared" si="0"/>
        <v>0.42</v>
      </c>
      <c r="M8" s="405" t="s">
        <v>165</v>
      </c>
      <c r="N8" s="628">
        <v>20</v>
      </c>
      <c r="R8" s="340" t="s">
        <v>1</v>
      </c>
      <c r="S8" s="394"/>
      <c r="T8" s="395">
        <f t="shared" ref="T8:U11" si="1">D7</f>
        <v>519</v>
      </c>
      <c r="U8" s="396">
        <f t="shared" si="1"/>
        <v>0.44334000000000001</v>
      </c>
      <c r="V8" s="397">
        <f>T8*U8</f>
        <v>230.09345999999999</v>
      </c>
    </row>
    <row r="9" spans="2:25" ht="24.95" customHeight="1" thickBot="1" x14ac:dyDescent="0.25">
      <c r="B9" s="270" t="s">
        <v>5</v>
      </c>
      <c r="C9" s="357"/>
      <c r="D9" s="354">
        <v>74</v>
      </c>
      <c r="E9" s="350">
        <v>0.51400000000000001</v>
      </c>
      <c r="F9" s="333">
        <f>E9*D9</f>
        <v>38.036000000000001</v>
      </c>
      <c r="H9" s="236" t="s">
        <v>82</v>
      </c>
      <c r="I9" s="346">
        <v>393.2</v>
      </c>
      <c r="J9" s="238">
        <f>Masse_Max_Décollage_07</f>
        <v>750</v>
      </c>
      <c r="K9" s="239">
        <f t="shared" si="0"/>
        <v>0.52426666666666666</v>
      </c>
      <c r="M9" s="405" t="s">
        <v>166</v>
      </c>
      <c r="N9" s="629">
        <v>50</v>
      </c>
      <c r="P9" s="70" t="s">
        <v>94</v>
      </c>
      <c r="R9" s="133" t="s">
        <v>4</v>
      </c>
      <c r="S9" s="134"/>
      <c r="T9" s="135">
        <f t="shared" si="1"/>
        <v>74</v>
      </c>
      <c r="U9" s="136">
        <f t="shared" si="1"/>
        <v>0.51400000000000001</v>
      </c>
      <c r="V9" s="137">
        <f>T9*U9</f>
        <v>38.036000000000001</v>
      </c>
    </row>
    <row r="10" spans="2:25" ht="24.95" customHeight="1" thickBot="1" x14ac:dyDescent="0.25">
      <c r="B10" s="270" t="s">
        <v>80</v>
      </c>
      <c r="C10" s="357"/>
      <c r="D10" s="355">
        <v>5</v>
      </c>
      <c r="E10" s="350">
        <v>1.3</v>
      </c>
      <c r="F10" s="333">
        <f>E10*D10</f>
        <v>6.5</v>
      </c>
      <c r="H10" s="243" t="s">
        <v>83</v>
      </c>
      <c r="I10" s="415">
        <v>291.06</v>
      </c>
      <c r="J10" s="245">
        <f>Masse_à_vide_07</f>
        <v>519</v>
      </c>
      <c r="K10" s="246">
        <f t="shared" si="0"/>
        <v>0.56080924855491332</v>
      </c>
      <c r="M10" s="254" t="s">
        <v>91</v>
      </c>
      <c r="N10" s="630">
        <f>(Carburant_Aile_Gauche_07+Carburant_Aile_Droite_07)-10.4</f>
        <v>59.6</v>
      </c>
      <c r="P10" s="67" t="s">
        <v>95</v>
      </c>
      <c r="Q10" s="73">
        <f>Consommation_minute_07</f>
        <v>0.28000000000000003</v>
      </c>
      <c r="R10" s="133" t="s">
        <v>5</v>
      </c>
      <c r="S10" s="134"/>
      <c r="T10" s="135">
        <f t="shared" si="1"/>
        <v>74</v>
      </c>
      <c r="U10" s="136">
        <f t="shared" si="1"/>
        <v>0.51400000000000001</v>
      </c>
      <c r="V10" s="137">
        <f>T10*U10</f>
        <v>38.036000000000001</v>
      </c>
    </row>
    <row r="11" spans="2:25" ht="24.95" customHeight="1" thickBot="1" x14ac:dyDescent="0.25">
      <c r="B11" s="385" t="s">
        <v>23</v>
      </c>
      <c r="C11" s="336">
        <f>Carburant_Aile_Gauche_07+Carburant_Aile_Droite_07</f>
        <v>70</v>
      </c>
      <c r="D11" s="445">
        <f>Densité_Carburant_07*C11</f>
        <v>50.4</v>
      </c>
      <c r="E11" s="338">
        <v>0.32900000000000001</v>
      </c>
      <c r="F11" s="339">
        <f>E11*D11</f>
        <v>16.581600000000002</v>
      </c>
      <c r="H11" s="393" t="s">
        <v>108</v>
      </c>
      <c r="I11" s="389">
        <f>Moment_Décollage_07</f>
        <v>329.24705999999998</v>
      </c>
      <c r="J11" s="567">
        <f>Masse_Décollage_07</f>
        <v>722.4</v>
      </c>
      <c r="K11" s="391">
        <f t="shared" si="0"/>
        <v>0.45576835548172756</v>
      </c>
      <c r="M11" s="254" t="s">
        <v>29</v>
      </c>
      <c r="N11" s="631">
        <v>16.8</v>
      </c>
      <c r="P11" s="67" t="s">
        <v>96</v>
      </c>
      <c r="Q11" s="68">
        <f>Carburant_utilisable_07</f>
        <v>59.6</v>
      </c>
      <c r="R11" s="133" t="s">
        <v>80</v>
      </c>
      <c r="S11" s="134"/>
      <c r="T11" s="135">
        <f>Bagages_07</f>
        <v>5</v>
      </c>
      <c r="U11" s="136">
        <f t="shared" si="1"/>
        <v>1.3</v>
      </c>
      <c r="V11" s="137">
        <f>T11*U11</f>
        <v>6.5</v>
      </c>
    </row>
    <row r="12" spans="2:25" ht="24.95" customHeight="1" thickBot="1" x14ac:dyDescent="0.25">
      <c r="B12" s="305" t="s">
        <v>12</v>
      </c>
      <c r="C12" s="306">
        <f>SUM(C11:C11)</f>
        <v>70</v>
      </c>
      <c r="D12" s="307">
        <f>SUM(D7:D11)</f>
        <v>722.4</v>
      </c>
      <c r="E12" s="315">
        <f>Moment_Décollage_07/Masse_Décollage_07</f>
        <v>0.45576835548172756</v>
      </c>
      <c r="F12" s="384">
        <f>SUM(F7:F11)</f>
        <v>329.24705999999998</v>
      </c>
      <c r="H12" s="349" t="s">
        <v>109</v>
      </c>
      <c r="I12" s="347">
        <f>Moment_Atterrissage_07</f>
        <v>322.94605200000001</v>
      </c>
      <c r="J12" s="566">
        <f>Masse_Atterrissage_07</f>
        <v>703.24800000000005</v>
      </c>
      <c r="K12" s="348">
        <f t="shared" si="0"/>
        <v>0.45922071872227149</v>
      </c>
      <c r="M12" s="248" t="s">
        <v>8</v>
      </c>
      <c r="N12" s="263">
        <f>N11/60</f>
        <v>0.28000000000000003</v>
      </c>
      <c r="P12" s="67" t="s">
        <v>97</v>
      </c>
      <c r="Q12" s="75">
        <f>Q11/Q10</f>
        <v>212.85714285714283</v>
      </c>
      <c r="R12" s="179" t="s">
        <v>162</v>
      </c>
      <c r="S12" s="623">
        <f>(Carburant_Aile_Gauche_07+Carburant_Aile_Droite_07)-Carburant_Bloc_07</f>
        <v>43.399999999999991</v>
      </c>
      <c r="T12" s="180">
        <f>S12*Densité_Carburant_07</f>
        <v>31.247999999999994</v>
      </c>
      <c r="U12" s="181">
        <f>E11</f>
        <v>0.32900000000000001</v>
      </c>
      <c r="V12" s="182">
        <f>T12*U12</f>
        <v>10.280591999999999</v>
      </c>
      <c r="Y12" s="24"/>
    </row>
    <row r="13" spans="2:25" ht="24.95" customHeight="1" thickBot="1" x14ac:dyDescent="0.25">
      <c r="B13" s="974" t="str">
        <f>IF(C12&gt;120,"* ATTENTION ! Le total carburant est supérieur à la capacité totale !","")</f>
        <v/>
      </c>
      <c r="C13" s="974"/>
      <c r="D13" s="974"/>
      <c r="E13" s="974"/>
      <c r="F13" s="974"/>
      <c r="H13" s="787" t="str">
        <f>IF(Nbre_Aérodromes_07&lt;=0,"* Minimum 1 aérodrome de destination","")</f>
        <v/>
      </c>
      <c r="I13" s="787"/>
      <c r="J13" s="787"/>
      <c r="K13" s="787"/>
      <c r="L13" s="86"/>
      <c r="M13" s="973" t="str">
        <f>IF(Capacité_carburant_Max_07&gt;120,"ERREUR Emport carburant !","Emport carburant Ok !")</f>
        <v>Emport carburant Ok !</v>
      </c>
      <c r="N13" s="973"/>
      <c r="O13" s="79"/>
      <c r="P13" s="67" t="s">
        <v>98</v>
      </c>
      <c r="Q13" s="68">
        <f>ROUNDDOWN(Q12/60,0)</f>
        <v>3</v>
      </c>
      <c r="R13" s="313" t="s">
        <v>161</v>
      </c>
      <c r="S13" s="613">
        <f>SUM(S12)</f>
        <v>43.399999999999991</v>
      </c>
      <c r="T13" s="314">
        <f>SUM(T8:T12)</f>
        <v>703.24800000000005</v>
      </c>
      <c r="U13" s="315">
        <f>Moment_Atterrissage_07/Masse_Atterrissage_07</f>
        <v>0.45922071872227149</v>
      </c>
      <c r="V13" s="316">
        <f>SUM(V8:V12)</f>
        <v>322.94605200000001</v>
      </c>
      <c r="Y13" s="24"/>
    </row>
    <row r="14" spans="2:25" ht="24.95" customHeight="1" thickBot="1" x14ac:dyDescent="0.25">
      <c r="B14" s="3"/>
      <c r="D14" s="953" t="str">
        <f>UPPER("Masse Totale :")</f>
        <v>MASSE TOTALE :</v>
      </c>
      <c r="E14" s="954"/>
      <c r="F14" s="317">
        <f>IF(Masse_Décollage_07&gt;Masse_Max_Décollage_07,"DANGER",Masse_Décollage_07)</f>
        <v>722.4</v>
      </c>
      <c r="H14" s="804" t="str">
        <f>UPPER("02-Données du vol")</f>
        <v>02-DONNÉES DU VOL</v>
      </c>
      <c r="I14" s="943"/>
      <c r="J14" s="671"/>
      <c r="K14" s="670"/>
      <c r="M14" s="975" t="str">
        <f>UPPER("Carburant Exploit. générale")</f>
        <v>CARBURANT EXPLOIT. GÉNÉRALE</v>
      </c>
      <c r="N14" s="976"/>
      <c r="O14" s="740"/>
      <c r="P14" s="119" t="s">
        <v>99</v>
      </c>
      <c r="Q14" s="741">
        <f>Q12-(Q13*60)</f>
        <v>32.857142857142833</v>
      </c>
      <c r="R14" s="966" t="str">
        <f>IF(S12=Réserve_Finale_07,"Le carburant restant dans le réservoir principal correspond à la réserve finale","")</f>
        <v/>
      </c>
      <c r="S14" s="966"/>
      <c r="T14" s="966"/>
      <c r="U14" s="966"/>
      <c r="V14" s="966"/>
      <c r="W14" s="119"/>
      <c r="X14" s="119"/>
      <c r="Y14" s="24"/>
    </row>
    <row r="15" spans="2:25" ht="24.95" customHeight="1" thickTop="1" thickBot="1" x14ac:dyDescent="0.25">
      <c r="B15" s="3"/>
      <c r="D15" s="958" t="str">
        <f>UPPER("moment :")</f>
        <v>MOMENT :</v>
      </c>
      <c r="E15" s="959"/>
      <c r="F15" s="318">
        <f>Moment_Décollage_07</f>
        <v>329.24705999999998</v>
      </c>
      <c r="H15" s="983" t="s">
        <v>147</v>
      </c>
      <c r="I15" s="984"/>
      <c r="J15" s="813" t="str">
        <f>IF(Durée_Totale_Vol_07&gt;Q12,"Erreur !",TEXT(Q13,"#0")&amp;" h et "&amp;TEXT(Q14,"#0")&amp;" mn")</f>
        <v>3 h et 33 mn</v>
      </c>
      <c r="K15" s="814"/>
      <c r="M15" s="977" t="str">
        <f>IF(Carburant_Bloc_07&gt;Carburant_utilisable_07,"DANGER - Total carburant insuffisant !","OK - Quantité de carburant suffisante")</f>
        <v>OK - Quantité de carburant suffisante</v>
      </c>
      <c r="N15" s="978"/>
      <c r="O15" s="742"/>
      <c r="P15" s="119"/>
      <c r="Q15" s="117"/>
      <c r="R15" s="581"/>
      <c r="S15" s="580" t="s">
        <v>236</v>
      </c>
      <c r="T15" s="580" t="s">
        <v>33</v>
      </c>
      <c r="U15" s="580" t="s">
        <v>234</v>
      </c>
      <c r="V15" s="580" t="s">
        <v>233</v>
      </c>
      <c r="W15" s="580" t="s">
        <v>235</v>
      </c>
      <c r="X15" s="580" t="s">
        <v>237</v>
      </c>
      <c r="Y15" s="580" t="s">
        <v>240</v>
      </c>
    </row>
    <row r="16" spans="2:25" ht="24.95" customHeight="1" thickBot="1" x14ac:dyDescent="0.25">
      <c r="B16" s="979" t="str">
        <f>IF(Masse_Décollage_07&gt;Masse_Max_Décollage_07,"* ATTENTION ! La masse max au décollage est dépassée !","")</f>
        <v/>
      </c>
      <c r="C16" s="979"/>
      <c r="D16" s="979"/>
      <c r="E16" s="979"/>
      <c r="F16" s="979"/>
      <c r="H16" s="980" t="s">
        <v>21</v>
      </c>
      <c r="I16" s="981"/>
      <c r="J16" s="982"/>
      <c r="K16" s="446">
        <v>45</v>
      </c>
      <c r="M16" s="126" t="s">
        <v>102</v>
      </c>
      <c r="N16" s="639">
        <f>Durée_Totale_Vol_07*Consommation_minute_07</f>
        <v>12.600000000000001</v>
      </c>
      <c r="O16" s="743"/>
      <c r="P16" s="744" t="s">
        <v>141</v>
      </c>
      <c r="Q16" s="117"/>
      <c r="R16" s="581" t="s">
        <v>243</v>
      </c>
      <c r="S16" s="582">
        <v>60</v>
      </c>
      <c r="T16" s="579">
        <f>Carburant_Aile_Gauche_07</f>
        <v>20</v>
      </c>
      <c r="U16" s="583">
        <f>1-V16</f>
        <v>0.66666666666666674</v>
      </c>
      <c r="V16" s="583">
        <f>T16/S16</f>
        <v>0.33333333333333331</v>
      </c>
      <c r="W16" s="584">
        <v>0.2</v>
      </c>
      <c r="X16" s="584">
        <v>0.2</v>
      </c>
      <c r="Y16" s="584">
        <v>0.2</v>
      </c>
    </row>
    <row r="17" spans="2:25" ht="24.95" customHeight="1" thickBot="1" x14ac:dyDescent="0.25">
      <c r="B17" s="967" t="s">
        <v>30</v>
      </c>
      <c r="C17" s="968"/>
      <c r="D17" s="968"/>
      <c r="E17" s="968"/>
      <c r="F17" s="969"/>
      <c r="H17" s="970" t="s">
        <v>22</v>
      </c>
      <c r="I17" s="971"/>
      <c r="J17" s="972"/>
      <c r="K17" s="447">
        <v>1</v>
      </c>
      <c r="M17" s="126" t="s">
        <v>103</v>
      </c>
      <c r="N17" s="639">
        <f>Nbre_Aérodromes_07*(Consommation_minute_07*10)</f>
        <v>2.8000000000000003</v>
      </c>
      <c r="O17" s="743"/>
      <c r="P17" s="119" t="s">
        <v>122</v>
      </c>
      <c r="Q17" s="745">
        <f>Carburant_Bloc_07/Durée_Totale_Vol_07</f>
        <v>0.59111111111111125</v>
      </c>
      <c r="R17" s="581"/>
      <c r="S17" s="580" t="s">
        <v>236</v>
      </c>
      <c r="T17" s="580" t="s">
        <v>33</v>
      </c>
      <c r="U17" s="580" t="s">
        <v>234</v>
      </c>
      <c r="V17" s="580" t="s">
        <v>233</v>
      </c>
      <c r="W17" s="580" t="s">
        <v>235</v>
      </c>
      <c r="X17" s="580" t="s">
        <v>237</v>
      </c>
      <c r="Y17" s="580" t="s">
        <v>240</v>
      </c>
    </row>
    <row r="18" spans="2:25" ht="24.95" customHeight="1" thickBot="1" x14ac:dyDescent="0.25">
      <c r="B18" s="989" t="s">
        <v>87</v>
      </c>
      <c r="C18" s="990"/>
      <c r="D18" s="434" t="s">
        <v>33</v>
      </c>
      <c r="E18" s="991" t="s">
        <v>34</v>
      </c>
      <c r="F18" s="992"/>
      <c r="H18" s="979" t="str">
        <f>IF(Moment_Décollage_07&gt;393.2,"* DANGER : Avion hors centrage arrière, INTERDICTION de décoller !","")</f>
        <v/>
      </c>
      <c r="I18" s="979"/>
      <c r="J18" s="979"/>
      <c r="K18" s="979"/>
      <c r="M18" s="103" t="s">
        <v>143</v>
      </c>
      <c r="N18" s="640">
        <f>SUM(N16:N17)</f>
        <v>15.400000000000002</v>
      </c>
      <c r="O18" s="743"/>
      <c r="P18" s="119" t="s">
        <v>25</v>
      </c>
      <c r="Q18" s="117">
        <f>Q11</f>
        <v>59.6</v>
      </c>
      <c r="R18" s="581" t="s">
        <v>242</v>
      </c>
      <c r="S18" s="582">
        <v>60</v>
      </c>
      <c r="T18" s="579">
        <f>Carburant_Aile_Droite_07</f>
        <v>50</v>
      </c>
      <c r="U18" s="583">
        <f>1-V18</f>
        <v>0.16666666666666663</v>
      </c>
      <c r="V18" s="583">
        <f>T18/S18</f>
        <v>0.83333333333333337</v>
      </c>
      <c r="W18" s="584">
        <v>0.2</v>
      </c>
      <c r="X18" s="584">
        <v>0.2</v>
      </c>
      <c r="Y18" s="584">
        <v>0.2</v>
      </c>
    </row>
    <row r="19" spans="2:25" ht="24.95" customHeight="1" thickBot="1" x14ac:dyDescent="0.25">
      <c r="B19" s="376" t="s">
        <v>31</v>
      </c>
      <c r="C19" s="435">
        <v>750</v>
      </c>
      <c r="D19" s="571">
        <f>Masse_Décollage_07</f>
        <v>722.4</v>
      </c>
      <c r="E19" s="993" t="str">
        <f>IF(D19&lt;=C19,"Ok !","DANGER !")</f>
        <v>Ok !</v>
      </c>
      <c r="F19" s="994"/>
      <c r="L19" s="42"/>
      <c r="M19" s="448" t="s">
        <v>43</v>
      </c>
      <c r="N19" s="271" t="s">
        <v>14</v>
      </c>
      <c r="O19" s="743"/>
      <c r="P19" s="119" t="s">
        <v>26</v>
      </c>
      <c r="Q19" s="741">
        <f>Q18/Q17</f>
        <v>100.82706766917291</v>
      </c>
      <c r="R19" s="581"/>
      <c r="S19" s="579">
        <f>Capacité_carburant_Max_07-Carburant_utilisable_07</f>
        <v>10.399999999999999</v>
      </c>
      <c r="T19" s="599"/>
      <c r="U19" s="597"/>
      <c r="V19" s="49"/>
      <c r="W19" s="49"/>
      <c r="X19" s="49"/>
      <c r="Y19" s="49"/>
    </row>
    <row r="20" spans="2:25" ht="24.95" customHeight="1" thickBot="1" x14ac:dyDescent="0.25">
      <c r="B20" s="262" t="s">
        <v>32</v>
      </c>
      <c r="C20" s="266">
        <v>750</v>
      </c>
      <c r="D20" s="572">
        <f>T13</f>
        <v>703.24800000000005</v>
      </c>
      <c r="E20" s="817" t="str">
        <f>IF(D20&lt;=C20,"Ok !","DANGER !")</f>
        <v>Ok !</v>
      </c>
      <c r="F20" s="818"/>
      <c r="M20" s="126" t="s">
        <v>144</v>
      </c>
      <c r="N20" s="641">
        <f>IF(Durée_Totale_Vol_07&gt;0,IF(N19="Jour",Consommation_minute_07*30,Consommation_minute_07*45),0)</f>
        <v>8.4</v>
      </c>
      <c r="O20" s="743"/>
      <c r="P20" s="119" t="s">
        <v>27</v>
      </c>
      <c r="Q20" s="741">
        <f>ROUNDDOWN(Q19/60,0)</f>
        <v>1</v>
      </c>
      <c r="R20" s="10"/>
      <c r="S20" s="10"/>
      <c r="T20" s="46"/>
      <c r="U20" s="10"/>
      <c r="V20" s="10"/>
      <c r="Y20" s="10"/>
    </row>
    <row r="21" spans="2:25" ht="24.95" customHeight="1" x14ac:dyDescent="0.2">
      <c r="B21" s="10" t="s">
        <v>74</v>
      </c>
      <c r="C21" s="13"/>
      <c r="D21" s="29">
        <f>C19-D19</f>
        <v>27.600000000000023</v>
      </c>
      <c r="M21" s="987" t="str">
        <f>IF(N19="Jour","** Réserve finale de carburant de 30 mn","** Réserve finale de carburant de 45 mn")</f>
        <v>** Réserve finale de carburant de 30 mn</v>
      </c>
      <c r="N21" s="988"/>
      <c r="O21" s="743"/>
      <c r="P21" s="119" t="s">
        <v>28</v>
      </c>
      <c r="Q21" s="741">
        <f>Q19-(Q20*60)</f>
        <v>40.827067669172905</v>
      </c>
      <c r="R21" s="10"/>
      <c r="S21" s="10"/>
      <c r="T21" s="46"/>
      <c r="U21" s="10"/>
      <c r="V21" s="10"/>
      <c r="Y21" s="10"/>
    </row>
    <row r="22" spans="2:25" ht="24.95" customHeight="1" x14ac:dyDescent="0.2">
      <c r="M22" s="126" t="s">
        <v>145</v>
      </c>
      <c r="N22" s="642">
        <f>(Consommation_horaire_07/60)*10</f>
        <v>2.8000000000000003</v>
      </c>
      <c r="O22" s="740"/>
      <c r="P22" s="119"/>
      <c r="Q22" s="117"/>
      <c r="R22" s="10"/>
      <c r="S22" s="10"/>
      <c r="T22" s="46"/>
      <c r="U22" s="10"/>
      <c r="V22" s="10"/>
      <c r="Y22" s="10"/>
    </row>
    <row r="23" spans="2:25" ht="24.95" customHeight="1" thickBot="1" x14ac:dyDescent="0.25">
      <c r="M23" s="437" t="s">
        <v>254</v>
      </c>
      <c r="N23" s="438">
        <f>((Délestage_07+Carburant_Roulage_07)-Carburant_Destination_07)/Carburant_Destination_07</f>
        <v>0.44444444444444453</v>
      </c>
      <c r="O23" s="743"/>
      <c r="P23" s="744" t="s">
        <v>93</v>
      </c>
      <c r="Q23" s="119"/>
      <c r="R23" s="119"/>
      <c r="S23" s="119"/>
      <c r="T23" s="746"/>
      <c r="U23" s="119"/>
      <c r="V23" s="119"/>
      <c r="W23" s="119"/>
      <c r="X23" s="119"/>
    </row>
    <row r="24" spans="2:25" ht="24.95" customHeight="1" thickBot="1" x14ac:dyDescent="0.25">
      <c r="M24" s="301" t="str">
        <f>UPPER("Carburant au bloc :")</f>
        <v>CARBURANT AU BLOC :</v>
      </c>
      <c r="N24" s="643">
        <f>Délestage_07+Réserve_Finale_07+Carburant_Roulage_07</f>
        <v>26.600000000000005</v>
      </c>
      <c r="O24" s="747"/>
      <c r="P24" s="119" t="s">
        <v>89</v>
      </c>
      <c r="Q24" s="748">
        <f>Masse_Décollage_07</f>
        <v>722.4</v>
      </c>
      <c r="R24" s="119"/>
      <c r="S24" s="119"/>
      <c r="T24" s="746"/>
      <c r="U24" s="119"/>
      <c r="V24" s="119"/>
      <c r="W24" s="119"/>
      <c r="X24" s="119"/>
    </row>
    <row r="25" spans="2:25" ht="24.95" customHeight="1" x14ac:dyDescent="0.2">
      <c r="M25" s="329" t="s">
        <v>139</v>
      </c>
      <c r="N25" s="644">
        <f>((Carburant_Bloc_07)/Durée_Totale_Vol_07)*60</f>
        <v>35.466666666666676</v>
      </c>
      <c r="O25" s="119"/>
      <c r="P25" s="119" t="s">
        <v>90</v>
      </c>
      <c r="Q25" s="748">
        <f>J12</f>
        <v>703.24800000000005</v>
      </c>
      <c r="R25" s="119"/>
      <c r="S25" s="119"/>
      <c r="T25" s="746"/>
      <c r="U25" s="119"/>
      <c r="V25" s="119"/>
      <c r="W25" s="119"/>
      <c r="X25" s="119"/>
    </row>
    <row r="26" spans="2:25" ht="24.95" customHeight="1" x14ac:dyDescent="0.2">
      <c r="M26" s="133" t="s">
        <v>148</v>
      </c>
      <c r="N26" s="645">
        <f>(Carburant_Aile_Gauche_07+Carburant_Aile_Droite_07)-Carburant_Bloc_07</f>
        <v>43.399999999999991</v>
      </c>
      <c r="O26" s="740"/>
      <c r="P26" s="119"/>
      <c r="Q26" s="117"/>
      <c r="R26" s="119"/>
      <c r="S26" s="119"/>
      <c r="T26" s="746"/>
      <c r="U26" s="119"/>
      <c r="V26" s="119"/>
      <c r="W26" s="119"/>
      <c r="X26" s="119"/>
    </row>
    <row r="27" spans="2:25" ht="24.95" customHeight="1" thickBot="1" x14ac:dyDescent="0.25">
      <c r="L27" s="12"/>
      <c r="M27" s="262" t="s">
        <v>263</v>
      </c>
      <c r="N27" s="646">
        <f>(Carburant_utilisable_07)-Carburant_Bloc_07</f>
        <v>33</v>
      </c>
      <c r="O27" s="740"/>
      <c r="P27" s="739" t="s">
        <v>142</v>
      </c>
      <c r="Q27" s="119"/>
      <c r="R27" s="746"/>
      <c r="S27" s="119"/>
      <c r="T27" s="746"/>
      <c r="U27" s="119"/>
      <c r="V27" s="119"/>
      <c r="W27" s="119"/>
      <c r="X27" s="119"/>
    </row>
    <row r="28" spans="2:25" ht="24.95" customHeight="1" x14ac:dyDescent="0.2">
      <c r="N28" s="37"/>
      <c r="O28" s="740"/>
      <c r="P28" s="746" t="s">
        <v>100</v>
      </c>
      <c r="Q28" s="749">
        <f>C19</f>
        <v>750</v>
      </c>
      <c r="R28" s="119"/>
      <c r="S28" s="119"/>
      <c r="T28" s="746"/>
      <c r="U28" s="119"/>
      <c r="V28" s="119"/>
      <c r="W28" s="119"/>
      <c r="X28" s="119"/>
    </row>
    <row r="29" spans="2:25" ht="18" customHeight="1" x14ac:dyDescent="0.2">
      <c r="O29" s="740"/>
      <c r="P29" s="746" t="s">
        <v>101</v>
      </c>
      <c r="Q29" s="749">
        <f>D7</f>
        <v>519</v>
      </c>
      <c r="R29" s="119"/>
      <c r="S29" s="119"/>
      <c r="T29" s="746"/>
      <c r="U29" s="119"/>
      <c r="V29" s="119"/>
      <c r="W29" s="119"/>
      <c r="X29" s="119"/>
    </row>
    <row r="30" spans="2:25" ht="18" customHeight="1" x14ac:dyDescent="0.2">
      <c r="O30" s="740"/>
      <c r="P30" s="119"/>
      <c r="Q30" s="117"/>
      <c r="R30" s="119"/>
      <c r="S30" s="119"/>
      <c r="T30" s="746"/>
      <c r="U30" s="119"/>
      <c r="V30" s="119"/>
      <c r="W30" s="119"/>
      <c r="X30" s="119"/>
    </row>
    <row r="31" spans="2:25" ht="18" customHeight="1" x14ac:dyDescent="0.2">
      <c r="O31" s="740"/>
      <c r="P31" s="119"/>
      <c r="Q31" s="117"/>
      <c r="R31" s="119"/>
      <c r="S31" s="119"/>
      <c r="T31" s="746"/>
      <c r="U31" s="119"/>
      <c r="V31" s="119"/>
      <c r="W31" s="119"/>
      <c r="X31" s="119"/>
    </row>
    <row r="32" spans="2:25" ht="18" customHeight="1" x14ac:dyDescent="0.2">
      <c r="O32" s="740"/>
      <c r="P32" s="119"/>
      <c r="Q32" s="117"/>
      <c r="R32" s="119"/>
      <c r="S32" s="119"/>
      <c r="T32" s="746"/>
      <c r="U32" s="119"/>
      <c r="V32" s="119"/>
      <c r="W32" s="119"/>
      <c r="X32" s="119"/>
    </row>
    <row r="33" spans="13:24" x14ac:dyDescent="0.2">
      <c r="O33" s="740"/>
      <c r="P33" s="119"/>
      <c r="Q33" s="117"/>
      <c r="R33" s="119"/>
      <c r="S33" s="119"/>
      <c r="T33" s="746"/>
      <c r="U33" s="119"/>
      <c r="V33" s="119"/>
      <c r="W33" s="119"/>
      <c r="X33" s="119"/>
    </row>
    <row r="34" spans="13:24" x14ac:dyDescent="0.2">
      <c r="O34" s="740"/>
      <c r="P34" s="119"/>
      <c r="Q34" s="117"/>
      <c r="R34" s="119"/>
      <c r="S34" s="119"/>
      <c r="T34" s="746"/>
      <c r="U34" s="119"/>
      <c r="V34" s="119"/>
      <c r="W34" s="119"/>
      <c r="X34" s="119"/>
    </row>
    <row r="35" spans="13:24" x14ac:dyDescent="0.2">
      <c r="O35" s="740"/>
      <c r="P35" s="119"/>
      <c r="Q35" s="117"/>
      <c r="R35" s="119"/>
      <c r="S35" s="119"/>
      <c r="T35" s="746"/>
      <c r="U35" s="119"/>
      <c r="V35" s="119"/>
      <c r="W35" s="119"/>
      <c r="X35" s="119"/>
    </row>
    <row r="36" spans="13:24" x14ac:dyDescent="0.2">
      <c r="O36" s="740"/>
      <c r="P36" s="119"/>
      <c r="Q36" s="117"/>
      <c r="R36" s="119"/>
      <c r="S36" s="119"/>
      <c r="T36" s="746"/>
      <c r="U36" s="119"/>
      <c r="V36" s="119"/>
      <c r="W36" s="119"/>
      <c r="X36" s="119"/>
    </row>
    <row r="37" spans="13:24" x14ac:dyDescent="0.2">
      <c r="O37" s="740"/>
      <c r="P37" s="119"/>
      <c r="Q37" s="117"/>
      <c r="R37" s="119"/>
      <c r="S37" s="119"/>
      <c r="T37" s="746"/>
      <c r="U37" s="119"/>
      <c r="V37" s="119"/>
      <c r="W37" s="119"/>
      <c r="X37" s="119"/>
    </row>
    <row r="38" spans="13:24" x14ac:dyDescent="0.2">
      <c r="M38" s="119"/>
      <c r="N38" s="117"/>
      <c r="O38" s="740"/>
      <c r="P38" s="119"/>
      <c r="Q38" s="117"/>
      <c r="R38" s="119"/>
      <c r="S38" s="119"/>
      <c r="T38" s="746"/>
      <c r="U38" s="119"/>
      <c r="V38" s="119"/>
      <c r="W38" s="119"/>
      <c r="X38" s="119"/>
    </row>
    <row r="39" spans="13:24" x14ac:dyDescent="0.2">
      <c r="M39" s="119"/>
      <c r="N39" s="117"/>
      <c r="O39" s="740"/>
      <c r="P39" s="119"/>
      <c r="Q39" s="117"/>
      <c r="R39" s="119"/>
      <c r="S39" s="119"/>
      <c r="T39" s="746"/>
      <c r="U39" s="119"/>
      <c r="V39" s="119"/>
      <c r="W39" s="119"/>
      <c r="X39" s="119"/>
    </row>
    <row r="40" spans="13:24" x14ac:dyDescent="0.2">
      <c r="M40" s="119"/>
      <c r="N40" s="117"/>
      <c r="O40" s="740"/>
      <c r="P40" s="119"/>
      <c r="Q40" s="117"/>
      <c r="R40" s="119"/>
      <c r="S40" s="119"/>
      <c r="T40" s="746"/>
      <c r="U40" s="119"/>
      <c r="V40" s="119"/>
      <c r="W40" s="119"/>
      <c r="X40" s="119"/>
    </row>
    <row r="41" spans="13:24" x14ac:dyDescent="0.2">
      <c r="M41" s="119"/>
      <c r="N41" s="117"/>
      <c r="O41" s="740"/>
      <c r="P41" s="119"/>
      <c r="Q41" s="117"/>
      <c r="R41" s="119"/>
      <c r="S41" s="119"/>
      <c r="T41" s="746"/>
      <c r="U41" s="119"/>
      <c r="V41" s="119"/>
      <c r="W41" s="119"/>
      <c r="X41" s="119"/>
    </row>
    <row r="42" spans="13:24" x14ac:dyDescent="0.2">
      <c r="O42" s="740"/>
      <c r="P42" s="119"/>
      <c r="Q42" s="117"/>
      <c r="R42" s="119"/>
      <c r="S42" s="119"/>
      <c r="T42" s="746"/>
      <c r="U42" s="119"/>
      <c r="V42" s="119"/>
      <c r="W42" s="119"/>
      <c r="X42" s="119"/>
    </row>
    <row r="43" spans="13:24" x14ac:dyDescent="0.2">
      <c r="O43" s="740"/>
      <c r="P43" s="119"/>
      <c r="Q43" s="117"/>
      <c r="R43" s="119"/>
      <c r="S43" s="119"/>
      <c r="T43" s="746"/>
      <c r="U43" s="119"/>
      <c r="V43" s="119"/>
      <c r="W43" s="119"/>
      <c r="X43" s="119"/>
    </row>
    <row r="44" spans="13:24" x14ac:dyDescent="0.2">
      <c r="O44" s="740"/>
      <c r="P44" s="119"/>
      <c r="Q44" s="117"/>
      <c r="R44" s="119"/>
      <c r="S44" s="119"/>
      <c r="T44" s="746"/>
      <c r="U44" s="119"/>
      <c r="V44" s="119"/>
      <c r="W44" s="119"/>
      <c r="X44" s="119"/>
    </row>
    <row r="45" spans="13:24" x14ac:dyDescent="0.2">
      <c r="O45" s="740"/>
      <c r="P45" s="119"/>
      <c r="Q45" s="117"/>
      <c r="R45" s="119"/>
      <c r="S45" s="119"/>
      <c r="T45" s="746"/>
      <c r="U45" s="119"/>
      <c r="V45" s="119"/>
      <c r="W45" s="119"/>
      <c r="X45" s="119"/>
    </row>
    <row r="46" spans="13:24" x14ac:dyDescent="0.2">
      <c r="O46" s="740"/>
      <c r="P46" s="119"/>
      <c r="Q46" s="117"/>
      <c r="R46" s="119"/>
      <c r="S46" s="119"/>
      <c r="T46" s="746"/>
      <c r="U46" s="119"/>
      <c r="V46" s="119"/>
      <c r="W46" s="119"/>
      <c r="X46" s="119"/>
    </row>
    <row r="47" spans="13:24" x14ac:dyDescent="0.2">
      <c r="O47" s="740"/>
      <c r="P47" s="119"/>
      <c r="Q47" s="117"/>
      <c r="R47" s="119"/>
      <c r="S47" s="119"/>
      <c r="T47" s="746"/>
      <c r="U47" s="119"/>
      <c r="V47" s="119"/>
      <c r="W47" s="119"/>
      <c r="X47" s="119"/>
    </row>
    <row r="48" spans="13:24" x14ac:dyDescent="0.2">
      <c r="O48" s="740"/>
      <c r="P48" s="119"/>
      <c r="Q48" s="117"/>
      <c r="R48" s="119"/>
      <c r="S48" s="119"/>
      <c r="T48" s="746"/>
      <c r="U48" s="119"/>
      <c r="V48" s="119"/>
      <c r="W48" s="119"/>
      <c r="X48" s="119"/>
    </row>
    <row r="49" spans="12:24" ht="19.5" thickBot="1" x14ac:dyDescent="0.25">
      <c r="O49" s="740"/>
      <c r="P49" s="119"/>
      <c r="Q49" s="117"/>
      <c r="R49" s="119"/>
      <c r="S49" s="119"/>
      <c r="T49" s="746"/>
      <c r="U49" s="119"/>
      <c r="V49" s="119"/>
      <c r="W49" s="119"/>
      <c r="X49" s="119"/>
    </row>
    <row r="50" spans="12:24" x14ac:dyDescent="0.2">
      <c r="M50" s="985" t="s">
        <v>18</v>
      </c>
      <c r="N50" s="986"/>
      <c r="O50" s="740"/>
      <c r="P50" s="119"/>
      <c r="Q50" s="117"/>
      <c r="R50" s="119"/>
      <c r="S50" s="119"/>
      <c r="T50" s="746"/>
      <c r="U50" s="119"/>
      <c r="V50" s="119"/>
      <c r="W50" s="119"/>
      <c r="X50" s="119"/>
    </row>
    <row r="51" spans="12:24" x14ac:dyDescent="0.2">
      <c r="M51" s="439"/>
      <c r="N51" s="440"/>
      <c r="O51" s="740"/>
      <c r="P51" s="119"/>
      <c r="Q51" s="117"/>
      <c r="R51" s="119"/>
      <c r="S51" s="119"/>
      <c r="T51" s="746"/>
      <c r="U51" s="119"/>
      <c r="V51" s="119"/>
      <c r="W51" s="119"/>
      <c r="X51" s="119"/>
    </row>
    <row r="52" spans="12:24" x14ac:dyDescent="0.2">
      <c r="M52" s="441"/>
      <c r="N52" s="442"/>
      <c r="O52" s="740"/>
      <c r="P52" s="119"/>
      <c r="Q52" s="117"/>
      <c r="R52" s="119"/>
      <c r="S52" s="119"/>
      <c r="T52" s="746"/>
      <c r="U52" s="119"/>
      <c r="V52" s="119"/>
      <c r="W52" s="119"/>
      <c r="X52" s="119"/>
    </row>
    <row r="53" spans="12:24" x14ac:dyDescent="0.2">
      <c r="M53" s="441"/>
      <c r="N53" s="442"/>
      <c r="O53" s="740"/>
      <c r="P53" s="119"/>
      <c r="Q53" s="117"/>
      <c r="R53" s="119"/>
      <c r="S53" s="119"/>
      <c r="T53" s="746"/>
      <c r="U53" s="119"/>
      <c r="V53" s="119"/>
      <c r="W53" s="119"/>
      <c r="X53" s="119"/>
    </row>
    <row r="54" spans="12:24" x14ac:dyDescent="0.2">
      <c r="M54" s="441"/>
      <c r="N54" s="442"/>
    </row>
    <row r="55" spans="12:24" x14ac:dyDescent="0.2">
      <c r="M55" s="441"/>
      <c r="N55" s="442"/>
    </row>
    <row r="56" spans="12:24" x14ac:dyDescent="0.2">
      <c r="M56" s="441"/>
      <c r="N56" s="442"/>
    </row>
    <row r="57" spans="12:24" ht="19.5" thickBot="1" x14ac:dyDescent="0.25">
      <c r="L57" s="678"/>
      <c r="M57" s="443"/>
      <c r="N57" s="444"/>
    </row>
  </sheetData>
  <sheetProtection algorithmName="SHA-512" hashValue="v+VBywy7zKuhCjMrGV2IoEyrj30lqk/I6DpThTXDzNGo2rwRYoA3dI5+dnt0to/UU6a9h8bWVK31+4SPuIJ4OQ==" saltValue="odJ4jbeGhHsOg4bduqow4w==" spinCount="100000" sheet="1" objects="1" scenarios="1" selectLockedCells="1"/>
  <mergeCells count="37">
    <mergeCell ref="M50:N50"/>
    <mergeCell ref="M21:N21"/>
    <mergeCell ref="B18:C18"/>
    <mergeCell ref="E18:F18"/>
    <mergeCell ref="E19:F19"/>
    <mergeCell ref="E20:F20"/>
    <mergeCell ref="H18:K18"/>
    <mergeCell ref="B17:F17"/>
    <mergeCell ref="H17:J17"/>
    <mergeCell ref="M13:N13"/>
    <mergeCell ref="B13:F13"/>
    <mergeCell ref="M14:N14"/>
    <mergeCell ref="D14:E14"/>
    <mergeCell ref="M15:N15"/>
    <mergeCell ref="D15:E15"/>
    <mergeCell ref="B16:F16"/>
    <mergeCell ref="H16:J16"/>
    <mergeCell ref="H15:I15"/>
    <mergeCell ref="J15:K15"/>
    <mergeCell ref="H14:I14"/>
    <mergeCell ref="B3:C3"/>
    <mergeCell ref="D3:F3"/>
    <mergeCell ref="I3:J3"/>
    <mergeCell ref="M3:N3"/>
    <mergeCell ref="M4:N4"/>
    <mergeCell ref="B1:N1"/>
    <mergeCell ref="B2:C2"/>
    <mergeCell ref="D2:E2"/>
    <mergeCell ref="G2:H2"/>
    <mergeCell ref="I2:J2"/>
    <mergeCell ref="M2:N2"/>
    <mergeCell ref="R7:S7"/>
    <mergeCell ref="R14:V14"/>
    <mergeCell ref="H13:K13"/>
    <mergeCell ref="C5:F5"/>
    <mergeCell ref="H5:K5"/>
    <mergeCell ref="M5:N5"/>
  </mergeCells>
  <conditionalFormatting sqref="B13:F13">
    <cfRule type="cellIs" dxfId="156" priority="41" operator="equal">
      <formula>"* ATTENTION ! Le total carburant est supérieur à la capacité totale !"</formula>
    </cfRule>
  </conditionalFormatting>
  <conditionalFormatting sqref="B16:F16">
    <cfRule type="cellIs" dxfId="155" priority="40" operator="equal">
      <formula>"* ATTENTION ! La masse max au décollage est dépassée !"</formula>
    </cfRule>
  </conditionalFormatting>
  <conditionalFormatting sqref="C12">
    <cfRule type="cellIs" dxfId="154" priority="28" operator="greaterThan">
      <formula>120</formula>
    </cfRule>
  </conditionalFormatting>
  <conditionalFormatting sqref="D10">
    <cfRule type="cellIs" dxfId="153" priority="26" operator="greaterThan">
      <formula>40</formula>
    </cfRule>
  </conditionalFormatting>
  <conditionalFormatting sqref="D12">
    <cfRule type="cellIs" dxfId="152" priority="3" operator="greaterThan">
      <formula>$C$19</formula>
    </cfRule>
  </conditionalFormatting>
  <conditionalFormatting sqref="D19">
    <cfRule type="cellIs" dxfId="151" priority="31" operator="greaterThan">
      <formula>$C$19</formula>
    </cfRule>
  </conditionalFormatting>
  <conditionalFormatting sqref="D20">
    <cfRule type="cellIs" dxfId="150" priority="30" operator="greaterThan">
      <formula>$C$20</formula>
    </cfRule>
  </conditionalFormatting>
  <conditionalFormatting sqref="E19:E20">
    <cfRule type="cellIs" dxfId="149" priority="32" operator="equal">
      <formula>"DANGER !"</formula>
    </cfRule>
    <cfRule type="cellIs" dxfId="148" priority="33" operator="equal">
      <formula>"Ok !"</formula>
    </cfRule>
  </conditionalFormatting>
  <conditionalFormatting sqref="F12">
    <cfRule type="cellIs" dxfId="147" priority="27" operator="greaterThan">
      <formula>564</formula>
    </cfRule>
  </conditionalFormatting>
  <conditionalFormatting sqref="F14">
    <cfRule type="cellIs" dxfId="146" priority="46" operator="greaterThan">
      <formula>750</formula>
    </cfRule>
    <cfRule type="cellIs" dxfId="145" priority="49" operator="equal">
      <formula>"DANGER"</formula>
    </cfRule>
  </conditionalFormatting>
  <conditionalFormatting sqref="F15">
    <cfRule type="cellIs" dxfId="144" priority="21" operator="greaterThan">
      <formula>"356.4"</formula>
    </cfRule>
  </conditionalFormatting>
  <conditionalFormatting sqref="H18">
    <cfRule type="cellIs" dxfId="143" priority="39" operator="equal">
      <formula>"* DANGER : Avion hors centrage arrière, INTERDICTION de décoller !"</formula>
    </cfRule>
  </conditionalFormatting>
  <conditionalFormatting sqref="H13:K13">
    <cfRule type="cellIs" dxfId="142" priority="4" operator="equal">
      <formula>"* Minimum 1 aérodrome de destination"</formula>
    </cfRule>
  </conditionalFormatting>
  <conditionalFormatting sqref="J15">
    <cfRule type="cellIs" dxfId="141" priority="1" operator="equal">
      <formula>"Erreur !"</formula>
    </cfRule>
  </conditionalFormatting>
  <conditionalFormatting sqref="K16">
    <cfRule type="expression" dxfId="140" priority="88">
      <formula>$N$27&lt;0</formula>
    </cfRule>
    <cfRule type="expression" dxfId="139" priority="89">
      <formula>$K$17&gt;$Q$12</formula>
    </cfRule>
  </conditionalFormatting>
  <conditionalFormatting sqref="K17">
    <cfRule type="cellIs" dxfId="138" priority="5" operator="lessThanOrEqual">
      <formula>0</formula>
    </cfRule>
  </conditionalFormatting>
  <conditionalFormatting sqref="M15">
    <cfRule type="cellIs" dxfId="137" priority="47" operator="equal">
      <formula>"DANGER - Total carburant insuffisant !"</formula>
    </cfRule>
    <cfRule type="cellIs" dxfId="136" priority="50" operator="equal">
      <formula>"OK - Quantité de carburant suffisante"</formula>
    </cfRule>
  </conditionalFormatting>
  <conditionalFormatting sqref="M21">
    <cfRule type="cellIs" dxfId="135" priority="42" operator="equal">
      <formula>"** Réserve finale de carburant de 45 mn"</formula>
    </cfRule>
    <cfRule type="cellIs" dxfId="134" priority="43" operator="equal">
      <formula>"** Réserve finale de carburant de 30 mn"</formula>
    </cfRule>
  </conditionalFormatting>
  <conditionalFormatting sqref="M13:N13">
    <cfRule type="cellIs" dxfId="133" priority="34" operator="equal">
      <formula>"Emport carburant Ok !"</formula>
    </cfRule>
    <cfRule type="cellIs" dxfId="132" priority="35" operator="equal">
      <formula>"ERREUR emport carburant !"</formula>
    </cfRule>
  </conditionalFormatting>
  <conditionalFormatting sqref="N7">
    <cfRule type="cellIs" dxfId="131" priority="48" operator="greaterThan">
      <formula>120</formula>
    </cfRule>
  </conditionalFormatting>
  <conditionalFormatting sqref="N8:N9">
    <cfRule type="cellIs" dxfId="130" priority="29" operator="greaterThan">
      <formula>60</formula>
    </cfRule>
  </conditionalFormatting>
  <conditionalFormatting sqref="N10">
    <cfRule type="cellIs" dxfId="129" priority="38" operator="greaterThan">
      <formula>109.6</formula>
    </cfRule>
  </conditionalFormatting>
  <conditionalFormatting sqref="N24">
    <cfRule type="expression" dxfId="128" priority="17">
      <formula>$N$24&gt;$N$10</formula>
    </cfRule>
  </conditionalFormatting>
  <conditionalFormatting sqref="N26:N27">
    <cfRule type="cellIs" dxfId="127" priority="7" operator="lessThan">
      <formula>0</formula>
    </cfRule>
  </conditionalFormatting>
  <conditionalFormatting sqref="S12">
    <cfRule type="cellIs" dxfId="126" priority="2" operator="lessThan">
      <formula>0</formula>
    </cfRule>
  </conditionalFormatting>
  <dataValidations count="1">
    <dataValidation type="list" allowBlank="1" showInputMessage="1" showErrorMessage="1" sqref="N19" xr:uid="{708A806D-17E4-4111-AB07-23E886BAAA99}">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5" orientation="landscape" horizontalDpi="300" verticalDpi="300" r:id="rId1"/>
  <headerFooter alignWithMargins="0">
    <oddFooter>&amp;CDate d'édition : &amp;D</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45DF7-9919-4F54-96B3-581AE8DAF7D1}">
  <sheetPr>
    <tabColor theme="5" tint="-0.499984740745262"/>
    <pageSetUpPr fitToPage="1"/>
  </sheetPr>
  <dimension ref="B1:Y57"/>
  <sheetViews>
    <sheetView showGridLines="0" zoomScale="85" zoomScaleNormal="85" workbookViewId="0">
      <pane ySplit="3" topLeftCell="A4" activePane="bottomLeft" state="frozenSplit"/>
      <selection activeCell="C3" sqref="C3:E3"/>
      <selection pane="bottomLeft" activeCell="N8" sqref="N8"/>
    </sheetView>
  </sheetViews>
  <sheetFormatPr baseColWidth="10" defaultRowHeight="18.75" x14ac:dyDescent="0.2"/>
  <cols>
    <col min="1" max="1" width="42.7109375" style="1" customWidth="1"/>
    <col min="2" max="2" width="29.140625" style="1" bestFit="1" customWidth="1"/>
    <col min="3" max="6" width="15.7109375" style="24" customWidth="1"/>
    <col min="7" max="7" width="5.7109375" style="1" customWidth="1"/>
    <col min="8" max="8" width="49.7109375" style="1" bestFit="1" customWidth="1"/>
    <col min="9" max="11" width="15.7109375" style="1" customWidth="1"/>
    <col min="12" max="12" width="5.7109375" style="1" customWidth="1"/>
    <col min="13" max="13" width="52.140625" style="1" bestFit="1" customWidth="1"/>
    <col min="14" max="14" width="15.7109375" style="24" customWidth="1"/>
    <col min="15" max="15" width="5.7109375" style="78" customWidth="1"/>
    <col min="16" max="16" width="23.42578125" style="67" hidden="1" customWidth="1"/>
    <col min="17" max="17" width="14.85546875" style="68" hidden="1" customWidth="1"/>
    <col min="18" max="18" width="35.28515625" style="67" bestFit="1" customWidth="1"/>
    <col min="19" max="19" width="16.7109375" style="67" customWidth="1"/>
    <col min="20" max="20" width="16.7109375" style="74" customWidth="1"/>
    <col min="21" max="21" width="19.85546875" style="67" bestFit="1" customWidth="1"/>
    <col min="22" max="22" width="23.7109375" style="67" customWidth="1"/>
    <col min="23" max="23" width="19.5703125" style="10" bestFit="1" customWidth="1"/>
    <col min="24" max="24" width="23.85546875" style="10" bestFit="1" customWidth="1"/>
    <col min="25" max="257" width="11.42578125" style="1"/>
    <col min="258" max="258" width="22.28515625" style="1" bestFit="1" customWidth="1"/>
    <col min="259" max="259" width="11.42578125" style="1"/>
    <col min="260" max="260" width="16" style="1" bestFit="1" customWidth="1"/>
    <col min="261" max="261" width="21.7109375" style="1" bestFit="1" customWidth="1"/>
    <col min="262" max="262" width="23.42578125" style="1" bestFit="1" customWidth="1"/>
    <col min="263" max="263" width="11.42578125" style="1"/>
    <col min="264" max="264" width="21.5703125" style="1" customWidth="1"/>
    <col min="265" max="266" width="11.42578125" style="1"/>
    <col min="267" max="267" width="12.85546875" style="1" bestFit="1" customWidth="1"/>
    <col min="268" max="268" width="11.42578125" style="1"/>
    <col min="269" max="269" width="27.7109375" style="1" bestFit="1" customWidth="1"/>
    <col min="270" max="270" width="12.28515625" style="1" bestFit="1" customWidth="1"/>
    <col min="271" max="513" width="11.42578125" style="1"/>
    <col min="514" max="514" width="22.28515625" style="1" bestFit="1" customWidth="1"/>
    <col min="515" max="515" width="11.42578125" style="1"/>
    <col min="516" max="516" width="16" style="1" bestFit="1" customWidth="1"/>
    <col min="517" max="517" width="21.7109375" style="1" bestFit="1" customWidth="1"/>
    <col min="518" max="518" width="23.42578125" style="1" bestFit="1" customWidth="1"/>
    <col min="519" max="519" width="11.42578125" style="1"/>
    <col min="520" max="520" width="21.5703125" style="1" customWidth="1"/>
    <col min="521" max="522" width="11.42578125" style="1"/>
    <col min="523" max="523" width="12.85546875" style="1" bestFit="1" customWidth="1"/>
    <col min="524" max="524" width="11.42578125" style="1"/>
    <col min="525" max="525" width="27.7109375" style="1" bestFit="1" customWidth="1"/>
    <col min="526" max="526" width="12.28515625" style="1" bestFit="1" customWidth="1"/>
    <col min="527" max="769" width="11.42578125" style="1"/>
    <col min="770" max="770" width="22.28515625" style="1" bestFit="1" customWidth="1"/>
    <col min="771" max="771" width="11.42578125" style="1"/>
    <col min="772" max="772" width="16" style="1" bestFit="1" customWidth="1"/>
    <col min="773" max="773" width="21.7109375" style="1" bestFit="1" customWidth="1"/>
    <col min="774" max="774" width="23.42578125" style="1" bestFit="1" customWidth="1"/>
    <col min="775" max="775" width="11.42578125" style="1"/>
    <col min="776" max="776" width="21.5703125" style="1" customWidth="1"/>
    <col min="777" max="778" width="11.42578125" style="1"/>
    <col min="779" max="779" width="12.85546875" style="1" bestFit="1" customWidth="1"/>
    <col min="780" max="780" width="11.42578125" style="1"/>
    <col min="781" max="781" width="27.7109375" style="1" bestFit="1" customWidth="1"/>
    <col min="782" max="782" width="12.28515625" style="1" bestFit="1" customWidth="1"/>
    <col min="783" max="1025" width="11.42578125" style="1"/>
    <col min="1026" max="1026" width="22.28515625" style="1" bestFit="1" customWidth="1"/>
    <col min="1027" max="1027" width="11.42578125" style="1"/>
    <col min="1028" max="1028" width="16" style="1" bestFit="1" customWidth="1"/>
    <col min="1029" max="1029" width="21.7109375" style="1" bestFit="1" customWidth="1"/>
    <col min="1030" max="1030" width="23.42578125" style="1" bestFit="1" customWidth="1"/>
    <col min="1031" max="1031" width="11.42578125" style="1"/>
    <col min="1032" max="1032" width="21.5703125" style="1" customWidth="1"/>
    <col min="1033" max="1034" width="11.42578125" style="1"/>
    <col min="1035" max="1035" width="12.85546875" style="1" bestFit="1" customWidth="1"/>
    <col min="1036" max="1036" width="11.42578125" style="1"/>
    <col min="1037" max="1037" width="27.7109375" style="1" bestFit="1" customWidth="1"/>
    <col min="1038" max="1038" width="12.28515625" style="1" bestFit="1" customWidth="1"/>
    <col min="1039" max="1281" width="11.42578125" style="1"/>
    <col min="1282" max="1282" width="22.28515625" style="1" bestFit="1" customWidth="1"/>
    <col min="1283" max="1283" width="11.42578125" style="1"/>
    <col min="1284" max="1284" width="16" style="1" bestFit="1" customWidth="1"/>
    <col min="1285" max="1285" width="21.7109375" style="1" bestFit="1" customWidth="1"/>
    <col min="1286" max="1286" width="23.42578125" style="1" bestFit="1" customWidth="1"/>
    <col min="1287" max="1287" width="11.42578125" style="1"/>
    <col min="1288" max="1288" width="21.5703125" style="1" customWidth="1"/>
    <col min="1289" max="1290" width="11.42578125" style="1"/>
    <col min="1291" max="1291" width="12.85546875" style="1" bestFit="1" customWidth="1"/>
    <col min="1292" max="1292" width="11.42578125" style="1"/>
    <col min="1293" max="1293" width="27.7109375" style="1" bestFit="1" customWidth="1"/>
    <col min="1294" max="1294" width="12.28515625" style="1" bestFit="1" customWidth="1"/>
    <col min="1295" max="1537" width="11.42578125" style="1"/>
    <col min="1538" max="1538" width="22.28515625" style="1" bestFit="1" customWidth="1"/>
    <col min="1539" max="1539" width="11.42578125" style="1"/>
    <col min="1540" max="1540" width="16" style="1" bestFit="1" customWidth="1"/>
    <col min="1541" max="1541" width="21.7109375" style="1" bestFit="1" customWidth="1"/>
    <col min="1542" max="1542" width="23.42578125" style="1" bestFit="1" customWidth="1"/>
    <col min="1543" max="1543" width="11.42578125" style="1"/>
    <col min="1544" max="1544" width="21.5703125" style="1" customWidth="1"/>
    <col min="1545" max="1546" width="11.42578125" style="1"/>
    <col min="1547" max="1547" width="12.85546875" style="1" bestFit="1" customWidth="1"/>
    <col min="1548" max="1548" width="11.42578125" style="1"/>
    <col min="1549" max="1549" width="27.7109375" style="1" bestFit="1" customWidth="1"/>
    <col min="1550" max="1550" width="12.28515625" style="1" bestFit="1" customWidth="1"/>
    <col min="1551" max="1793" width="11.42578125" style="1"/>
    <col min="1794" max="1794" width="22.28515625" style="1" bestFit="1" customWidth="1"/>
    <col min="1795" max="1795" width="11.42578125" style="1"/>
    <col min="1796" max="1796" width="16" style="1" bestFit="1" customWidth="1"/>
    <col min="1797" max="1797" width="21.7109375" style="1" bestFit="1" customWidth="1"/>
    <col min="1798" max="1798" width="23.42578125" style="1" bestFit="1" customWidth="1"/>
    <col min="1799" max="1799" width="11.42578125" style="1"/>
    <col min="1800" max="1800" width="21.5703125" style="1" customWidth="1"/>
    <col min="1801" max="1802" width="11.42578125" style="1"/>
    <col min="1803" max="1803" width="12.85546875" style="1" bestFit="1" customWidth="1"/>
    <col min="1804" max="1804" width="11.42578125" style="1"/>
    <col min="1805" max="1805" width="27.7109375" style="1" bestFit="1" customWidth="1"/>
    <col min="1806" max="1806" width="12.28515625" style="1" bestFit="1" customWidth="1"/>
    <col min="1807" max="2049" width="11.42578125" style="1"/>
    <col min="2050" max="2050" width="22.28515625" style="1" bestFit="1" customWidth="1"/>
    <col min="2051" max="2051" width="11.42578125" style="1"/>
    <col min="2052" max="2052" width="16" style="1" bestFit="1" customWidth="1"/>
    <col min="2053" max="2053" width="21.7109375" style="1" bestFit="1" customWidth="1"/>
    <col min="2054" max="2054" width="23.42578125" style="1" bestFit="1" customWidth="1"/>
    <col min="2055" max="2055" width="11.42578125" style="1"/>
    <col min="2056" max="2056" width="21.5703125" style="1" customWidth="1"/>
    <col min="2057" max="2058" width="11.42578125" style="1"/>
    <col min="2059" max="2059" width="12.85546875" style="1" bestFit="1" customWidth="1"/>
    <col min="2060" max="2060" width="11.42578125" style="1"/>
    <col min="2061" max="2061" width="27.7109375" style="1" bestFit="1" customWidth="1"/>
    <col min="2062" max="2062" width="12.28515625" style="1" bestFit="1" customWidth="1"/>
    <col min="2063" max="2305" width="11.42578125" style="1"/>
    <col min="2306" max="2306" width="22.28515625" style="1" bestFit="1" customWidth="1"/>
    <col min="2307" max="2307" width="11.42578125" style="1"/>
    <col min="2308" max="2308" width="16" style="1" bestFit="1" customWidth="1"/>
    <col min="2309" max="2309" width="21.7109375" style="1" bestFit="1" customWidth="1"/>
    <col min="2310" max="2310" width="23.42578125" style="1" bestFit="1" customWidth="1"/>
    <col min="2311" max="2311" width="11.42578125" style="1"/>
    <col min="2312" max="2312" width="21.5703125" style="1" customWidth="1"/>
    <col min="2313" max="2314" width="11.42578125" style="1"/>
    <col min="2315" max="2315" width="12.85546875" style="1" bestFit="1" customWidth="1"/>
    <col min="2316" max="2316" width="11.42578125" style="1"/>
    <col min="2317" max="2317" width="27.7109375" style="1" bestFit="1" customWidth="1"/>
    <col min="2318" max="2318" width="12.28515625" style="1" bestFit="1" customWidth="1"/>
    <col min="2319" max="2561" width="11.42578125" style="1"/>
    <col min="2562" max="2562" width="22.28515625" style="1" bestFit="1" customWidth="1"/>
    <col min="2563" max="2563" width="11.42578125" style="1"/>
    <col min="2564" max="2564" width="16" style="1" bestFit="1" customWidth="1"/>
    <col min="2565" max="2565" width="21.7109375" style="1" bestFit="1" customWidth="1"/>
    <col min="2566" max="2566" width="23.42578125" style="1" bestFit="1" customWidth="1"/>
    <col min="2567" max="2567" width="11.42578125" style="1"/>
    <col min="2568" max="2568" width="21.5703125" style="1" customWidth="1"/>
    <col min="2569" max="2570" width="11.42578125" style="1"/>
    <col min="2571" max="2571" width="12.85546875" style="1" bestFit="1" customWidth="1"/>
    <col min="2572" max="2572" width="11.42578125" style="1"/>
    <col min="2573" max="2573" width="27.7109375" style="1" bestFit="1" customWidth="1"/>
    <col min="2574" max="2574" width="12.28515625" style="1" bestFit="1" customWidth="1"/>
    <col min="2575" max="2817" width="11.42578125" style="1"/>
    <col min="2818" max="2818" width="22.28515625" style="1" bestFit="1" customWidth="1"/>
    <col min="2819" max="2819" width="11.42578125" style="1"/>
    <col min="2820" max="2820" width="16" style="1" bestFit="1" customWidth="1"/>
    <col min="2821" max="2821" width="21.7109375" style="1" bestFit="1" customWidth="1"/>
    <col min="2822" max="2822" width="23.42578125" style="1" bestFit="1" customWidth="1"/>
    <col min="2823" max="2823" width="11.42578125" style="1"/>
    <col min="2824" max="2824" width="21.5703125" style="1" customWidth="1"/>
    <col min="2825" max="2826" width="11.42578125" style="1"/>
    <col min="2827" max="2827" width="12.85546875" style="1" bestFit="1" customWidth="1"/>
    <col min="2828" max="2828" width="11.42578125" style="1"/>
    <col min="2829" max="2829" width="27.7109375" style="1" bestFit="1" customWidth="1"/>
    <col min="2830" max="2830" width="12.28515625" style="1" bestFit="1" customWidth="1"/>
    <col min="2831" max="3073" width="11.42578125" style="1"/>
    <col min="3074" max="3074" width="22.28515625" style="1" bestFit="1" customWidth="1"/>
    <col min="3075" max="3075" width="11.42578125" style="1"/>
    <col min="3076" max="3076" width="16" style="1" bestFit="1" customWidth="1"/>
    <col min="3077" max="3077" width="21.7109375" style="1" bestFit="1" customWidth="1"/>
    <col min="3078" max="3078" width="23.42578125" style="1" bestFit="1" customWidth="1"/>
    <col min="3079" max="3079" width="11.42578125" style="1"/>
    <col min="3080" max="3080" width="21.5703125" style="1" customWidth="1"/>
    <col min="3081" max="3082" width="11.42578125" style="1"/>
    <col min="3083" max="3083" width="12.85546875" style="1" bestFit="1" customWidth="1"/>
    <col min="3084" max="3084" width="11.42578125" style="1"/>
    <col min="3085" max="3085" width="27.7109375" style="1" bestFit="1" customWidth="1"/>
    <col min="3086" max="3086" width="12.28515625" style="1" bestFit="1" customWidth="1"/>
    <col min="3087" max="3329" width="11.42578125" style="1"/>
    <col min="3330" max="3330" width="22.28515625" style="1" bestFit="1" customWidth="1"/>
    <col min="3331" max="3331" width="11.42578125" style="1"/>
    <col min="3332" max="3332" width="16" style="1" bestFit="1" customWidth="1"/>
    <col min="3333" max="3333" width="21.7109375" style="1" bestFit="1" customWidth="1"/>
    <col min="3334" max="3334" width="23.42578125" style="1" bestFit="1" customWidth="1"/>
    <col min="3335" max="3335" width="11.42578125" style="1"/>
    <col min="3336" max="3336" width="21.5703125" style="1" customWidth="1"/>
    <col min="3337" max="3338" width="11.42578125" style="1"/>
    <col min="3339" max="3339" width="12.85546875" style="1" bestFit="1" customWidth="1"/>
    <col min="3340" max="3340" width="11.42578125" style="1"/>
    <col min="3341" max="3341" width="27.7109375" style="1" bestFit="1" customWidth="1"/>
    <col min="3342" max="3342" width="12.28515625" style="1" bestFit="1" customWidth="1"/>
    <col min="3343" max="3585" width="11.42578125" style="1"/>
    <col min="3586" max="3586" width="22.28515625" style="1" bestFit="1" customWidth="1"/>
    <col min="3587" max="3587" width="11.42578125" style="1"/>
    <col min="3588" max="3588" width="16" style="1" bestFit="1" customWidth="1"/>
    <col min="3589" max="3589" width="21.7109375" style="1" bestFit="1" customWidth="1"/>
    <col min="3590" max="3590" width="23.42578125" style="1" bestFit="1" customWidth="1"/>
    <col min="3591" max="3591" width="11.42578125" style="1"/>
    <col min="3592" max="3592" width="21.5703125" style="1" customWidth="1"/>
    <col min="3593" max="3594" width="11.42578125" style="1"/>
    <col min="3595" max="3595" width="12.85546875" style="1" bestFit="1" customWidth="1"/>
    <col min="3596" max="3596" width="11.42578125" style="1"/>
    <col min="3597" max="3597" width="27.7109375" style="1" bestFit="1" customWidth="1"/>
    <col min="3598" max="3598" width="12.28515625" style="1" bestFit="1" customWidth="1"/>
    <col min="3599" max="3841" width="11.42578125" style="1"/>
    <col min="3842" max="3842" width="22.28515625" style="1" bestFit="1" customWidth="1"/>
    <col min="3843" max="3843" width="11.42578125" style="1"/>
    <col min="3844" max="3844" width="16" style="1" bestFit="1" customWidth="1"/>
    <col min="3845" max="3845" width="21.7109375" style="1" bestFit="1" customWidth="1"/>
    <col min="3846" max="3846" width="23.42578125" style="1" bestFit="1" customWidth="1"/>
    <col min="3847" max="3847" width="11.42578125" style="1"/>
    <col min="3848" max="3848" width="21.5703125" style="1" customWidth="1"/>
    <col min="3849" max="3850" width="11.42578125" style="1"/>
    <col min="3851" max="3851" width="12.85546875" style="1" bestFit="1" customWidth="1"/>
    <col min="3852" max="3852" width="11.42578125" style="1"/>
    <col min="3853" max="3853" width="27.7109375" style="1" bestFit="1" customWidth="1"/>
    <col min="3854" max="3854" width="12.28515625" style="1" bestFit="1" customWidth="1"/>
    <col min="3855" max="4097" width="11.42578125" style="1"/>
    <col min="4098" max="4098" width="22.28515625" style="1" bestFit="1" customWidth="1"/>
    <col min="4099" max="4099" width="11.42578125" style="1"/>
    <col min="4100" max="4100" width="16" style="1" bestFit="1" customWidth="1"/>
    <col min="4101" max="4101" width="21.7109375" style="1" bestFit="1" customWidth="1"/>
    <col min="4102" max="4102" width="23.42578125" style="1" bestFit="1" customWidth="1"/>
    <col min="4103" max="4103" width="11.42578125" style="1"/>
    <col min="4104" max="4104" width="21.5703125" style="1" customWidth="1"/>
    <col min="4105" max="4106" width="11.42578125" style="1"/>
    <col min="4107" max="4107" width="12.85546875" style="1" bestFit="1" customWidth="1"/>
    <col min="4108" max="4108" width="11.42578125" style="1"/>
    <col min="4109" max="4109" width="27.7109375" style="1" bestFit="1" customWidth="1"/>
    <col min="4110" max="4110" width="12.28515625" style="1" bestFit="1" customWidth="1"/>
    <col min="4111" max="4353" width="11.42578125" style="1"/>
    <col min="4354" max="4354" width="22.28515625" style="1" bestFit="1" customWidth="1"/>
    <col min="4355" max="4355" width="11.42578125" style="1"/>
    <col min="4356" max="4356" width="16" style="1" bestFit="1" customWidth="1"/>
    <col min="4357" max="4357" width="21.7109375" style="1" bestFit="1" customWidth="1"/>
    <col min="4358" max="4358" width="23.42578125" style="1" bestFit="1" customWidth="1"/>
    <col min="4359" max="4359" width="11.42578125" style="1"/>
    <col min="4360" max="4360" width="21.5703125" style="1" customWidth="1"/>
    <col min="4361" max="4362" width="11.42578125" style="1"/>
    <col min="4363" max="4363" width="12.85546875" style="1" bestFit="1" customWidth="1"/>
    <col min="4364" max="4364" width="11.42578125" style="1"/>
    <col min="4365" max="4365" width="27.7109375" style="1" bestFit="1" customWidth="1"/>
    <col min="4366" max="4366" width="12.28515625" style="1" bestFit="1" customWidth="1"/>
    <col min="4367" max="4609" width="11.42578125" style="1"/>
    <col min="4610" max="4610" width="22.28515625" style="1" bestFit="1" customWidth="1"/>
    <col min="4611" max="4611" width="11.42578125" style="1"/>
    <col min="4612" max="4612" width="16" style="1" bestFit="1" customWidth="1"/>
    <col min="4613" max="4613" width="21.7109375" style="1" bestFit="1" customWidth="1"/>
    <col min="4614" max="4614" width="23.42578125" style="1" bestFit="1" customWidth="1"/>
    <col min="4615" max="4615" width="11.42578125" style="1"/>
    <col min="4616" max="4616" width="21.5703125" style="1" customWidth="1"/>
    <col min="4617" max="4618" width="11.42578125" style="1"/>
    <col min="4619" max="4619" width="12.85546875" style="1" bestFit="1" customWidth="1"/>
    <col min="4620" max="4620" width="11.42578125" style="1"/>
    <col min="4621" max="4621" width="27.7109375" style="1" bestFit="1" customWidth="1"/>
    <col min="4622" max="4622" width="12.28515625" style="1" bestFit="1" customWidth="1"/>
    <col min="4623" max="4865" width="11.42578125" style="1"/>
    <col min="4866" max="4866" width="22.28515625" style="1" bestFit="1" customWidth="1"/>
    <col min="4867" max="4867" width="11.42578125" style="1"/>
    <col min="4868" max="4868" width="16" style="1" bestFit="1" customWidth="1"/>
    <col min="4869" max="4869" width="21.7109375" style="1" bestFit="1" customWidth="1"/>
    <col min="4870" max="4870" width="23.42578125" style="1" bestFit="1" customWidth="1"/>
    <col min="4871" max="4871" width="11.42578125" style="1"/>
    <col min="4872" max="4872" width="21.5703125" style="1" customWidth="1"/>
    <col min="4873" max="4874" width="11.42578125" style="1"/>
    <col min="4875" max="4875" width="12.85546875" style="1" bestFit="1" customWidth="1"/>
    <col min="4876" max="4876" width="11.42578125" style="1"/>
    <col min="4877" max="4877" width="27.7109375" style="1" bestFit="1" customWidth="1"/>
    <col min="4878" max="4878" width="12.28515625" style="1" bestFit="1" customWidth="1"/>
    <col min="4879" max="5121" width="11.42578125" style="1"/>
    <col min="5122" max="5122" width="22.28515625" style="1" bestFit="1" customWidth="1"/>
    <col min="5123" max="5123" width="11.42578125" style="1"/>
    <col min="5124" max="5124" width="16" style="1" bestFit="1" customWidth="1"/>
    <col min="5125" max="5125" width="21.7109375" style="1" bestFit="1" customWidth="1"/>
    <col min="5126" max="5126" width="23.42578125" style="1" bestFit="1" customWidth="1"/>
    <col min="5127" max="5127" width="11.42578125" style="1"/>
    <col min="5128" max="5128" width="21.5703125" style="1" customWidth="1"/>
    <col min="5129" max="5130" width="11.42578125" style="1"/>
    <col min="5131" max="5131" width="12.85546875" style="1" bestFit="1" customWidth="1"/>
    <col min="5132" max="5132" width="11.42578125" style="1"/>
    <col min="5133" max="5133" width="27.7109375" style="1" bestFit="1" customWidth="1"/>
    <col min="5134" max="5134" width="12.28515625" style="1" bestFit="1" customWidth="1"/>
    <col min="5135" max="5377" width="11.42578125" style="1"/>
    <col min="5378" max="5378" width="22.28515625" style="1" bestFit="1" customWidth="1"/>
    <col min="5379" max="5379" width="11.42578125" style="1"/>
    <col min="5380" max="5380" width="16" style="1" bestFit="1" customWidth="1"/>
    <col min="5381" max="5381" width="21.7109375" style="1" bestFit="1" customWidth="1"/>
    <col min="5382" max="5382" width="23.42578125" style="1" bestFit="1" customWidth="1"/>
    <col min="5383" max="5383" width="11.42578125" style="1"/>
    <col min="5384" max="5384" width="21.5703125" style="1" customWidth="1"/>
    <col min="5385" max="5386" width="11.42578125" style="1"/>
    <col min="5387" max="5387" width="12.85546875" style="1" bestFit="1" customWidth="1"/>
    <col min="5388" max="5388" width="11.42578125" style="1"/>
    <col min="5389" max="5389" width="27.7109375" style="1" bestFit="1" customWidth="1"/>
    <col min="5390" max="5390" width="12.28515625" style="1" bestFit="1" customWidth="1"/>
    <col min="5391" max="5633" width="11.42578125" style="1"/>
    <col min="5634" max="5634" width="22.28515625" style="1" bestFit="1" customWidth="1"/>
    <col min="5635" max="5635" width="11.42578125" style="1"/>
    <col min="5636" max="5636" width="16" style="1" bestFit="1" customWidth="1"/>
    <col min="5637" max="5637" width="21.7109375" style="1" bestFit="1" customWidth="1"/>
    <col min="5638" max="5638" width="23.42578125" style="1" bestFit="1" customWidth="1"/>
    <col min="5639" max="5639" width="11.42578125" style="1"/>
    <col min="5640" max="5640" width="21.5703125" style="1" customWidth="1"/>
    <col min="5641" max="5642" width="11.42578125" style="1"/>
    <col min="5643" max="5643" width="12.85546875" style="1" bestFit="1" customWidth="1"/>
    <col min="5644" max="5644" width="11.42578125" style="1"/>
    <col min="5645" max="5645" width="27.7109375" style="1" bestFit="1" customWidth="1"/>
    <col min="5646" max="5646" width="12.28515625" style="1" bestFit="1" customWidth="1"/>
    <col min="5647" max="5889" width="11.42578125" style="1"/>
    <col min="5890" max="5890" width="22.28515625" style="1" bestFit="1" customWidth="1"/>
    <col min="5891" max="5891" width="11.42578125" style="1"/>
    <col min="5892" max="5892" width="16" style="1" bestFit="1" customWidth="1"/>
    <col min="5893" max="5893" width="21.7109375" style="1" bestFit="1" customWidth="1"/>
    <col min="5894" max="5894" width="23.42578125" style="1" bestFit="1" customWidth="1"/>
    <col min="5895" max="5895" width="11.42578125" style="1"/>
    <col min="5896" max="5896" width="21.5703125" style="1" customWidth="1"/>
    <col min="5897" max="5898" width="11.42578125" style="1"/>
    <col min="5899" max="5899" width="12.85546875" style="1" bestFit="1" customWidth="1"/>
    <col min="5900" max="5900" width="11.42578125" style="1"/>
    <col min="5901" max="5901" width="27.7109375" style="1" bestFit="1" customWidth="1"/>
    <col min="5902" max="5902" width="12.28515625" style="1" bestFit="1" customWidth="1"/>
    <col min="5903" max="6145" width="11.42578125" style="1"/>
    <col min="6146" max="6146" width="22.28515625" style="1" bestFit="1" customWidth="1"/>
    <col min="6147" max="6147" width="11.42578125" style="1"/>
    <col min="6148" max="6148" width="16" style="1" bestFit="1" customWidth="1"/>
    <col min="6149" max="6149" width="21.7109375" style="1" bestFit="1" customWidth="1"/>
    <col min="6150" max="6150" width="23.42578125" style="1" bestFit="1" customWidth="1"/>
    <col min="6151" max="6151" width="11.42578125" style="1"/>
    <col min="6152" max="6152" width="21.5703125" style="1" customWidth="1"/>
    <col min="6153" max="6154" width="11.42578125" style="1"/>
    <col min="6155" max="6155" width="12.85546875" style="1" bestFit="1" customWidth="1"/>
    <col min="6156" max="6156" width="11.42578125" style="1"/>
    <col min="6157" max="6157" width="27.7109375" style="1" bestFit="1" customWidth="1"/>
    <col min="6158" max="6158" width="12.28515625" style="1" bestFit="1" customWidth="1"/>
    <col min="6159" max="6401" width="11.42578125" style="1"/>
    <col min="6402" max="6402" width="22.28515625" style="1" bestFit="1" customWidth="1"/>
    <col min="6403" max="6403" width="11.42578125" style="1"/>
    <col min="6404" max="6404" width="16" style="1" bestFit="1" customWidth="1"/>
    <col min="6405" max="6405" width="21.7109375" style="1" bestFit="1" customWidth="1"/>
    <col min="6406" max="6406" width="23.42578125" style="1" bestFit="1" customWidth="1"/>
    <col min="6407" max="6407" width="11.42578125" style="1"/>
    <col min="6408" max="6408" width="21.5703125" style="1" customWidth="1"/>
    <col min="6409" max="6410" width="11.42578125" style="1"/>
    <col min="6411" max="6411" width="12.85546875" style="1" bestFit="1" customWidth="1"/>
    <col min="6412" max="6412" width="11.42578125" style="1"/>
    <col min="6413" max="6413" width="27.7109375" style="1" bestFit="1" customWidth="1"/>
    <col min="6414" max="6414" width="12.28515625" style="1" bestFit="1" customWidth="1"/>
    <col min="6415" max="6657" width="11.42578125" style="1"/>
    <col min="6658" max="6658" width="22.28515625" style="1" bestFit="1" customWidth="1"/>
    <col min="6659" max="6659" width="11.42578125" style="1"/>
    <col min="6660" max="6660" width="16" style="1" bestFit="1" customWidth="1"/>
    <col min="6661" max="6661" width="21.7109375" style="1" bestFit="1" customWidth="1"/>
    <col min="6662" max="6662" width="23.42578125" style="1" bestFit="1" customWidth="1"/>
    <col min="6663" max="6663" width="11.42578125" style="1"/>
    <col min="6664" max="6664" width="21.5703125" style="1" customWidth="1"/>
    <col min="6665" max="6666" width="11.42578125" style="1"/>
    <col min="6667" max="6667" width="12.85546875" style="1" bestFit="1" customWidth="1"/>
    <col min="6668" max="6668" width="11.42578125" style="1"/>
    <col min="6669" max="6669" width="27.7109375" style="1" bestFit="1" customWidth="1"/>
    <col min="6670" max="6670" width="12.28515625" style="1" bestFit="1" customWidth="1"/>
    <col min="6671" max="6913" width="11.42578125" style="1"/>
    <col min="6914" max="6914" width="22.28515625" style="1" bestFit="1" customWidth="1"/>
    <col min="6915" max="6915" width="11.42578125" style="1"/>
    <col min="6916" max="6916" width="16" style="1" bestFit="1" customWidth="1"/>
    <col min="6917" max="6917" width="21.7109375" style="1" bestFit="1" customWidth="1"/>
    <col min="6918" max="6918" width="23.42578125" style="1" bestFit="1" customWidth="1"/>
    <col min="6919" max="6919" width="11.42578125" style="1"/>
    <col min="6920" max="6920" width="21.5703125" style="1" customWidth="1"/>
    <col min="6921" max="6922" width="11.42578125" style="1"/>
    <col min="6923" max="6923" width="12.85546875" style="1" bestFit="1" customWidth="1"/>
    <col min="6924" max="6924" width="11.42578125" style="1"/>
    <col min="6925" max="6925" width="27.7109375" style="1" bestFit="1" customWidth="1"/>
    <col min="6926" max="6926" width="12.28515625" style="1" bestFit="1" customWidth="1"/>
    <col min="6927" max="7169" width="11.42578125" style="1"/>
    <col min="7170" max="7170" width="22.28515625" style="1" bestFit="1" customWidth="1"/>
    <col min="7171" max="7171" width="11.42578125" style="1"/>
    <col min="7172" max="7172" width="16" style="1" bestFit="1" customWidth="1"/>
    <col min="7173" max="7173" width="21.7109375" style="1" bestFit="1" customWidth="1"/>
    <col min="7174" max="7174" width="23.42578125" style="1" bestFit="1" customWidth="1"/>
    <col min="7175" max="7175" width="11.42578125" style="1"/>
    <col min="7176" max="7176" width="21.5703125" style="1" customWidth="1"/>
    <col min="7177" max="7178" width="11.42578125" style="1"/>
    <col min="7179" max="7179" width="12.85546875" style="1" bestFit="1" customWidth="1"/>
    <col min="7180" max="7180" width="11.42578125" style="1"/>
    <col min="7181" max="7181" width="27.7109375" style="1" bestFit="1" customWidth="1"/>
    <col min="7182" max="7182" width="12.28515625" style="1" bestFit="1" customWidth="1"/>
    <col min="7183" max="7425" width="11.42578125" style="1"/>
    <col min="7426" max="7426" width="22.28515625" style="1" bestFit="1" customWidth="1"/>
    <col min="7427" max="7427" width="11.42578125" style="1"/>
    <col min="7428" max="7428" width="16" style="1" bestFit="1" customWidth="1"/>
    <col min="7429" max="7429" width="21.7109375" style="1" bestFit="1" customWidth="1"/>
    <col min="7430" max="7430" width="23.42578125" style="1" bestFit="1" customWidth="1"/>
    <col min="7431" max="7431" width="11.42578125" style="1"/>
    <col min="7432" max="7432" width="21.5703125" style="1" customWidth="1"/>
    <col min="7433" max="7434" width="11.42578125" style="1"/>
    <col min="7435" max="7435" width="12.85546875" style="1" bestFit="1" customWidth="1"/>
    <col min="7436" max="7436" width="11.42578125" style="1"/>
    <col min="7437" max="7437" width="27.7109375" style="1" bestFit="1" customWidth="1"/>
    <col min="7438" max="7438" width="12.28515625" style="1" bestFit="1" customWidth="1"/>
    <col min="7439" max="7681" width="11.42578125" style="1"/>
    <col min="7682" max="7682" width="22.28515625" style="1" bestFit="1" customWidth="1"/>
    <col min="7683" max="7683" width="11.42578125" style="1"/>
    <col min="7684" max="7684" width="16" style="1" bestFit="1" customWidth="1"/>
    <col min="7685" max="7685" width="21.7109375" style="1" bestFit="1" customWidth="1"/>
    <col min="7686" max="7686" width="23.42578125" style="1" bestFit="1" customWidth="1"/>
    <col min="7687" max="7687" width="11.42578125" style="1"/>
    <col min="7688" max="7688" width="21.5703125" style="1" customWidth="1"/>
    <col min="7689" max="7690" width="11.42578125" style="1"/>
    <col min="7691" max="7691" width="12.85546875" style="1" bestFit="1" customWidth="1"/>
    <col min="7692" max="7692" width="11.42578125" style="1"/>
    <col min="7693" max="7693" width="27.7109375" style="1" bestFit="1" customWidth="1"/>
    <col min="7694" max="7694" width="12.28515625" style="1" bestFit="1" customWidth="1"/>
    <col min="7695" max="7937" width="11.42578125" style="1"/>
    <col min="7938" max="7938" width="22.28515625" style="1" bestFit="1" customWidth="1"/>
    <col min="7939" max="7939" width="11.42578125" style="1"/>
    <col min="7940" max="7940" width="16" style="1" bestFit="1" customWidth="1"/>
    <col min="7941" max="7941" width="21.7109375" style="1" bestFit="1" customWidth="1"/>
    <col min="7942" max="7942" width="23.42578125" style="1" bestFit="1" customWidth="1"/>
    <col min="7943" max="7943" width="11.42578125" style="1"/>
    <col min="7944" max="7944" width="21.5703125" style="1" customWidth="1"/>
    <col min="7945" max="7946" width="11.42578125" style="1"/>
    <col min="7947" max="7947" width="12.85546875" style="1" bestFit="1" customWidth="1"/>
    <col min="7948" max="7948" width="11.42578125" style="1"/>
    <col min="7949" max="7949" width="27.7109375" style="1" bestFit="1" customWidth="1"/>
    <col min="7950" max="7950" width="12.28515625" style="1" bestFit="1" customWidth="1"/>
    <col min="7951" max="8193" width="11.42578125" style="1"/>
    <col min="8194" max="8194" width="22.28515625" style="1" bestFit="1" customWidth="1"/>
    <col min="8195" max="8195" width="11.42578125" style="1"/>
    <col min="8196" max="8196" width="16" style="1" bestFit="1" customWidth="1"/>
    <col min="8197" max="8197" width="21.7109375" style="1" bestFit="1" customWidth="1"/>
    <col min="8198" max="8198" width="23.42578125" style="1" bestFit="1" customWidth="1"/>
    <col min="8199" max="8199" width="11.42578125" style="1"/>
    <col min="8200" max="8200" width="21.5703125" style="1" customWidth="1"/>
    <col min="8201" max="8202" width="11.42578125" style="1"/>
    <col min="8203" max="8203" width="12.85546875" style="1" bestFit="1" customWidth="1"/>
    <col min="8204" max="8204" width="11.42578125" style="1"/>
    <col min="8205" max="8205" width="27.7109375" style="1" bestFit="1" customWidth="1"/>
    <col min="8206" max="8206" width="12.28515625" style="1" bestFit="1" customWidth="1"/>
    <col min="8207" max="8449" width="11.42578125" style="1"/>
    <col min="8450" max="8450" width="22.28515625" style="1" bestFit="1" customWidth="1"/>
    <col min="8451" max="8451" width="11.42578125" style="1"/>
    <col min="8452" max="8452" width="16" style="1" bestFit="1" customWidth="1"/>
    <col min="8453" max="8453" width="21.7109375" style="1" bestFit="1" customWidth="1"/>
    <col min="8454" max="8454" width="23.42578125" style="1" bestFit="1" customWidth="1"/>
    <col min="8455" max="8455" width="11.42578125" style="1"/>
    <col min="8456" max="8456" width="21.5703125" style="1" customWidth="1"/>
    <col min="8457" max="8458" width="11.42578125" style="1"/>
    <col min="8459" max="8459" width="12.85546875" style="1" bestFit="1" customWidth="1"/>
    <col min="8460" max="8460" width="11.42578125" style="1"/>
    <col min="8461" max="8461" width="27.7109375" style="1" bestFit="1" customWidth="1"/>
    <col min="8462" max="8462" width="12.28515625" style="1" bestFit="1" customWidth="1"/>
    <col min="8463" max="8705" width="11.42578125" style="1"/>
    <col min="8706" max="8706" width="22.28515625" style="1" bestFit="1" customWidth="1"/>
    <col min="8707" max="8707" width="11.42578125" style="1"/>
    <col min="8708" max="8708" width="16" style="1" bestFit="1" customWidth="1"/>
    <col min="8709" max="8709" width="21.7109375" style="1" bestFit="1" customWidth="1"/>
    <col min="8710" max="8710" width="23.42578125" style="1" bestFit="1" customWidth="1"/>
    <col min="8711" max="8711" width="11.42578125" style="1"/>
    <col min="8712" max="8712" width="21.5703125" style="1" customWidth="1"/>
    <col min="8713" max="8714" width="11.42578125" style="1"/>
    <col min="8715" max="8715" width="12.85546875" style="1" bestFit="1" customWidth="1"/>
    <col min="8716" max="8716" width="11.42578125" style="1"/>
    <col min="8717" max="8717" width="27.7109375" style="1" bestFit="1" customWidth="1"/>
    <col min="8718" max="8718" width="12.28515625" style="1" bestFit="1" customWidth="1"/>
    <col min="8719" max="8961" width="11.42578125" style="1"/>
    <col min="8962" max="8962" width="22.28515625" style="1" bestFit="1" customWidth="1"/>
    <col min="8963" max="8963" width="11.42578125" style="1"/>
    <col min="8964" max="8964" width="16" style="1" bestFit="1" customWidth="1"/>
    <col min="8965" max="8965" width="21.7109375" style="1" bestFit="1" customWidth="1"/>
    <col min="8966" max="8966" width="23.42578125" style="1" bestFit="1" customWidth="1"/>
    <col min="8967" max="8967" width="11.42578125" style="1"/>
    <col min="8968" max="8968" width="21.5703125" style="1" customWidth="1"/>
    <col min="8969" max="8970" width="11.42578125" style="1"/>
    <col min="8971" max="8971" width="12.85546875" style="1" bestFit="1" customWidth="1"/>
    <col min="8972" max="8972" width="11.42578125" style="1"/>
    <col min="8973" max="8973" width="27.7109375" style="1" bestFit="1" customWidth="1"/>
    <col min="8974" max="8974" width="12.28515625" style="1" bestFit="1" customWidth="1"/>
    <col min="8975" max="9217" width="11.42578125" style="1"/>
    <col min="9218" max="9218" width="22.28515625" style="1" bestFit="1" customWidth="1"/>
    <col min="9219" max="9219" width="11.42578125" style="1"/>
    <col min="9220" max="9220" width="16" style="1" bestFit="1" customWidth="1"/>
    <col min="9221" max="9221" width="21.7109375" style="1" bestFit="1" customWidth="1"/>
    <col min="9222" max="9222" width="23.42578125" style="1" bestFit="1" customWidth="1"/>
    <col min="9223" max="9223" width="11.42578125" style="1"/>
    <col min="9224" max="9224" width="21.5703125" style="1" customWidth="1"/>
    <col min="9225" max="9226" width="11.42578125" style="1"/>
    <col min="9227" max="9227" width="12.85546875" style="1" bestFit="1" customWidth="1"/>
    <col min="9228" max="9228" width="11.42578125" style="1"/>
    <col min="9229" max="9229" width="27.7109375" style="1" bestFit="1" customWidth="1"/>
    <col min="9230" max="9230" width="12.28515625" style="1" bestFit="1" customWidth="1"/>
    <col min="9231" max="9473" width="11.42578125" style="1"/>
    <col min="9474" max="9474" width="22.28515625" style="1" bestFit="1" customWidth="1"/>
    <col min="9475" max="9475" width="11.42578125" style="1"/>
    <col min="9476" max="9476" width="16" style="1" bestFit="1" customWidth="1"/>
    <col min="9477" max="9477" width="21.7109375" style="1" bestFit="1" customWidth="1"/>
    <col min="9478" max="9478" width="23.42578125" style="1" bestFit="1" customWidth="1"/>
    <col min="9479" max="9479" width="11.42578125" style="1"/>
    <col min="9480" max="9480" width="21.5703125" style="1" customWidth="1"/>
    <col min="9481" max="9482" width="11.42578125" style="1"/>
    <col min="9483" max="9483" width="12.85546875" style="1" bestFit="1" customWidth="1"/>
    <col min="9484" max="9484" width="11.42578125" style="1"/>
    <col min="9485" max="9485" width="27.7109375" style="1" bestFit="1" customWidth="1"/>
    <col min="9486" max="9486" width="12.28515625" style="1" bestFit="1" customWidth="1"/>
    <col min="9487" max="9729" width="11.42578125" style="1"/>
    <col min="9730" max="9730" width="22.28515625" style="1" bestFit="1" customWidth="1"/>
    <col min="9731" max="9731" width="11.42578125" style="1"/>
    <col min="9732" max="9732" width="16" style="1" bestFit="1" customWidth="1"/>
    <col min="9733" max="9733" width="21.7109375" style="1" bestFit="1" customWidth="1"/>
    <col min="9734" max="9734" width="23.42578125" style="1" bestFit="1" customWidth="1"/>
    <col min="9735" max="9735" width="11.42578125" style="1"/>
    <col min="9736" max="9736" width="21.5703125" style="1" customWidth="1"/>
    <col min="9737" max="9738" width="11.42578125" style="1"/>
    <col min="9739" max="9739" width="12.85546875" style="1" bestFit="1" customWidth="1"/>
    <col min="9740" max="9740" width="11.42578125" style="1"/>
    <col min="9741" max="9741" width="27.7109375" style="1" bestFit="1" customWidth="1"/>
    <col min="9742" max="9742" width="12.28515625" style="1" bestFit="1" customWidth="1"/>
    <col min="9743" max="9985" width="11.42578125" style="1"/>
    <col min="9986" max="9986" width="22.28515625" style="1" bestFit="1" customWidth="1"/>
    <col min="9987" max="9987" width="11.42578125" style="1"/>
    <col min="9988" max="9988" width="16" style="1" bestFit="1" customWidth="1"/>
    <col min="9989" max="9989" width="21.7109375" style="1" bestFit="1" customWidth="1"/>
    <col min="9990" max="9990" width="23.42578125" style="1" bestFit="1" customWidth="1"/>
    <col min="9991" max="9991" width="11.42578125" style="1"/>
    <col min="9992" max="9992" width="21.5703125" style="1" customWidth="1"/>
    <col min="9993" max="9994" width="11.42578125" style="1"/>
    <col min="9995" max="9995" width="12.85546875" style="1" bestFit="1" customWidth="1"/>
    <col min="9996" max="9996" width="11.42578125" style="1"/>
    <col min="9997" max="9997" width="27.7109375" style="1" bestFit="1" customWidth="1"/>
    <col min="9998" max="9998" width="12.28515625" style="1" bestFit="1" customWidth="1"/>
    <col min="9999" max="10241" width="11.42578125" style="1"/>
    <col min="10242" max="10242" width="22.28515625" style="1" bestFit="1" customWidth="1"/>
    <col min="10243" max="10243" width="11.42578125" style="1"/>
    <col min="10244" max="10244" width="16" style="1" bestFit="1" customWidth="1"/>
    <col min="10245" max="10245" width="21.7109375" style="1" bestFit="1" customWidth="1"/>
    <col min="10246" max="10246" width="23.42578125" style="1" bestFit="1" customWidth="1"/>
    <col min="10247" max="10247" width="11.42578125" style="1"/>
    <col min="10248" max="10248" width="21.5703125" style="1" customWidth="1"/>
    <col min="10249" max="10250" width="11.42578125" style="1"/>
    <col min="10251" max="10251" width="12.85546875" style="1" bestFit="1" customWidth="1"/>
    <col min="10252" max="10252" width="11.42578125" style="1"/>
    <col min="10253" max="10253" width="27.7109375" style="1" bestFit="1" customWidth="1"/>
    <col min="10254" max="10254" width="12.28515625" style="1" bestFit="1" customWidth="1"/>
    <col min="10255" max="10497" width="11.42578125" style="1"/>
    <col min="10498" max="10498" width="22.28515625" style="1" bestFit="1" customWidth="1"/>
    <col min="10499" max="10499" width="11.42578125" style="1"/>
    <col min="10500" max="10500" width="16" style="1" bestFit="1" customWidth="1"/>
    <col min="10501" max="10501" width="21.7109375" style="1" bestFit="1" customWidth="1"/>
    <col min="10502" max="10502" width="23.42578125" style="1" bestFit="1" customWidth="1"/>
    <col min="10503" max="10503" width="11.42578125" style="1"/>
    <col min="10504" max="10504" width="21.5703125" style="1" customWidth="1"/>
    <col min="10505" max="10506" width="11.42578125" style="1"/>
    <col min="10507" max="10507" width="12.85546875" style="1" bestFit="1" customWidth="1"/>
    <col min="10508" max="10508" width="11.42578125" style="1"/>
    <col min="10509" max="10509" width="27.7109375" style="1" bestFit="1" customWidth="1"/>
    <col min="10510" max="10510" width="12.28515625" style="1" bestFit="1" customWidth="1"/>
    <col min="10511" max="10753" width="11.42578125" style="1"/>
    <col min="10754" max="10754" width="22.28515625" style="1" bestFit="1" customWidth="1"/>
    <col min="10755" max="10755" width="11.42578125" style="1"/>
    <col min="10756" max="10756" width="16" style="1" bestFit="1" customWidth="1"/>
    <col min="10757" max="10757" width="21.7109375" style="1" bestFit="1" customWidth="1"/>
    <col min="10758" max="10758" width="23.42578125" style="1" bestFit="1" customWidth="1"/>
    <col min="10759" max="10759" width="11.42578125" style="1"/>
    <col min="10760" max="10760" width="21.5703125" style="1" customWidth="1"/>
    <col min="10761" max="10762" width="11.42578125" style="1"/>
    <col min="10763" max="10763" width="12.85546875" style="1" bestFit="1" customWidth="1"/>
    <col min="10764" max="10764" width="11.42578125" style="1"/>
    <col min="10765" max="10765" width="27.7109375" style="1" bestFit="1" customWidth="1"/>
    <col min="10766" max="10766" width="12.28515625" style="1" bestFit="1" customWidth="1"/>
    <col min="10767" max="11009" width="11.42578125" style="1"/>
    <col min="11010" max="11010" width="22.28515625" style="1" bestFit="1" customWidth="1"/>
    <col min="11011" max="11011" width="11.42578125" style="1"/>
    <col min="11012" max="11012" width="16" style="1" bestFit="1" customWidth="1"/>
    <col min="11013" max="11013" width="21.7109375" style="1" bestFit="1" customWidth="1"/>
    <col min="11014" max="11014" width="23.42578125" style="1" bestFit="1" customWidth="1"/>
    <col min="11015" max="11015" width="11.42578125" style="1"/>
    <col min="11016" max="11016" width="21.5703125" style="1" customWidth="1"/>
    <col min="11017" max="11018" width="11.42578125" style="1"/>
    <col min="11019" max="11019" width="12.85546875" style="1" bestFit="1" customWidth="1"/>
    <col min="11020" max="11020" width="11.42578125" style="1"/>
    <col min="11021" max="11021" width="27.7109375" style="1" bestFit="1" customWidth="1"/>
    <col min="11022" max="11022" width="12.28515625" style="1" bestFit="1" customWidth="1"/>
    <col min="11023" max="11265" width="11.42578125" style="1"/>
    <col min="11266" max="11266" width="22.28515625" style="1" bestFit="1" customWidth="1"/>
    <col min="11267" max="11267" width="11.42578125" style="1"/>
    <col min="11268" max="11268" width="16" style="1" bestFit="1" customWidth="1"/>
    <col min="11269" max="11269" width="21.7109375" style="1" bestFit="1" customWidth="1"/>
    <col min="11270" max="11270" width="23.42578125" style="1" bestFit="1" customWidth="1"/>
    <col min="11271" max="11271" width="11.42578125" style="1"/>
    <col min="11272" max="11272" width="21.5703125" style="1" customWidth="1"/>
    <col min="11273" max="11274" width="11.42578125" style="1"/>
    <col min="11275" max="11275" width="12.85546875" style="1" bestFit="1" customWidth="1"/>
    <col min="11276" max="11276" width="11.42578125" style="1"/>
    <col min="11277" max="11277" width="27.7109375" style="1" bestFit="1" customWidth="1"/>
    <col min="11278" max="11278" width="12.28515625" style="1" bestFit="1" customWidth="1"/>
    <col min="11279" max="11521" width="11.42578125" style="1"/>
    <col min="11522" max="11522" width="22.28515625" style="1" bestFit="1" customWidth="1"/>
    <col min="11523" max="11523" width="11.42578125" style="1"/>
    <col min="11524" max="11524" width="16" style="1" bestFit="1" customWidth="1"/>
    <col min="11525" max="11525" width="21.7109375" style="1" bestFit="1" customWidth="1"/>
    <col min="11526" max="11526" width="23.42578125" style="1" bestFit="1" customWidth="1"/>
    <col min="11527" max="11527" width="11.42578125" style="1"/>
    <col min="11528" max="11528" width="21.5703125" style="1" customWidth="1"/>
    <col min="11529" max="11530" width="11.42578125" style="1"/>
    <col min="11531" max="11531" width="12.85546875" style="1" bestFit="1" customWidth="1"/>
    <col min="11532" max="11532" width="11.42578125" style="1"/>
    <col min="11533" max="11533" width="27.7109375" style="1" bestFit="1" customWidth="1"/>
    <col min="11534" max="11534" width="12.28515625" style="1" bestFit="1" customWidth="1"/>
    <col min="11535" max="11777" width="11.42578125" style="1"/>
    <col min="11778" max="11778" width="22.28515625" style="1" bestFit="1" customWidth="1"/>
    <col min="11779" max="11779" width="11.42578125" style="1"/>
    <col min="11780" max="11780" width="16" style="1" bestFit="1" customWidth="1"/>
    <col min="11781" max="11781" width="21.7109375" style="1" bestFit="1" customWidth="1"/>
    <col min="11782" max="11782" width="23.42578125" style="1" bestFit="1" customWidth="1"/>
    <col min="11783" max="11783" width="11.42578125" style="1"/>
    <col min="11784" max="11784" width="21.5703125" style="1" customWidth="1"/>
    <col min="11785" max="11786" width="11.42578125" style="1"/>
    <col min="11787" max="11787" width="12.85546875" style="1" bestFit="1" customWidth="1"/>
    <col min="11788" max="11788" width="11.42578125" style="1"/>
    <col min="11789" max="11789" width="27.7109375" style="1" bestFit="1" customWidth="1"/>
    <col min="11790" max="11790" width="12.28515625" style="1" bestFit="1" customWidth="1"/>
    <col min="11791" max="12033" width="11.42578125" style="1"/>
    <col min="12034" max="12034" width="22.28515625" style="1" bestFit="1" customWidth="1"/>
    <col min="12035" max="12035" width="11.42578125" style="1"/>
    <col min="12036" max="12036" width="16" style="1" bestFit="1" customWidth="1"/>
    <col min="12037" max="12037" width="21.7109375" style="1" bestFit="1" customWidth="1"/>
    <col min="12038" max="12038" width="23.42578125" style="1" bestFit="1" customWidth="1"/>
    <col min="12039" max="12039" width="11.42578125" style="1"/>
    <col min="12040" max="12040" width="21.5703125" style="1" customWidth="1"/>
    <col min="12041" max="12042" width="11.42578125" style="1"/>
    <col min="12043" max="12043" width="12.85546875" style="1" bestFit="1" customWidth="1"/>
    <col min="12044" max="12044" width="11.42578125" style="1"/>
    <col min="12045" max="12045" width="27.7109375" style="1" bestFit="1" customWidth="1"/>
    <col min="12046" max="12046" width="12.28515625" style="1" bestFit="1" customWidth="1"/>
    <col min="12047" max="12289" width="11.42578125" style="1"/>
    <col min="12290" max="12290" width="22.28515625" style="1" bestFit="1" customWidth="1"/>
    <col min="12291" max="12291" width="11.42578125" style="1"/>
    <col min="12292" max="12292" width="16" style="1" bestFit="1" customWidth="1"/>
    <col min="12293" max="12293" width="21.7109375" style="1" bestFit="1" customWidth="1"/>
    <col min="12294" max="12294" width="23.42578125" style="1" bestFit="1" customWidth="1"/>
    <col min="12295" max="12295" width="11.42578125" style="1"/>
    <col min="12296" max="12296" width="21.5703125" style="1" customWidth="1"/>
    <col min="12297" max="12298" width="11.42578125" style="1"/>
    <col min="12299" max="12299" width="12.85546875" style="1" bestFit="1" customWidth="1"/>
    <col min="12300" max="12300" width="11.42578125" style="1"/>
    <col min="12301" max="12301" width="27.7109375" style="1" bestFit="1" customWidth="1"/>
    <col min="12302" max="12302" width="12.28515625" style="1" bestFit="1" customWidth="1"/>
    <col min="12303" max="12545" width="11.42578125" style="1"/>
    <col min="12546" max="12546" width="22.28515625" style="1" bestFit="1" customWidth="1"/>
    <col min="12547" max="12547" width="11.42578125" style="1"/>
    <col min="12548" max="12548" width="16" style="1" bestFit="1" customWidth="1"/>
    <col min="12549" max="12549" width="21.7109375" style="1" bestFit="1" customWidth="1"/>
    <col min="12550" max="12550" width="23.42578125" style="1" bestFit="1" customWidth="1"/>
    <col min="12551" max="12551" width="11.42578125" style="1"/>
    <col min="12552" max="12552" width="21.5703125" style="1" customWidth="1"/>
    <col min="12553" max="12554" width="11.42578125" style="1"/>
    <col min="12555" max="12555" width="12.85546875" style="1" bestFit="1" customWidth="1"/>
    <col min="12556" max="12556" width="11.42578125" style="1"/>
    <col min="12557" max="12557" width="27.7109375" style="1" bestFit="1" customWidth="1"/>
    <col min="12558" max="12558" width="12.28515625" style="1" bestFit="1" customWidth="1"/>
    <col min="12559" max="12801" width="11.42578125" style="1"/>
    <col min="12802" max="12802" width="22.28515625" style="1" bestFit="1" customWidth="1"/>
    <col min="12803" max="12803" width="11.42578125" style="1"/>
    <col min="12804" max="12804" width="16" style="1" bestFit="1" customWidth="1"/>
    <col min="12805" max="12805" width="21.7109375" style="1" bestFit="1" customWidth="1"/>
    <col min="12806" max="12806" width="23.42578125" style="1" bestFit="1" customWidth="1"/>
    <col min="12807" max="12807" width="11.42578125" style="1"/>
    <col min="12808" max="12808" width="21.5703125" style="1" customWidth="1"/>
    <col min="12809" max="12810" width="11.42578125" style="1"/>
    <col min="12811" max="12811" width="12.85546875" style="1" bestFit="1" customWidth="1"/>
    <col min="12812" max="12812" width="11.42578125" style="1"/>
    <col min="12813" max="12813" width="27.7109375" style="1" bestFit="1" customWidth="1"/>
    <col min="12814" max="12814" width="12.28515625" style="1" bestFit="1" customWidth="1"/>
    <col min="12815" max="13057" width="11.42578125" style="1"/>
    <col min="13058" max="13058" width="22.28515625" style="1" bestFit="1" customWidth="1"/>
    <col min="13059" max="13059" width="11.42578125" style="1"/>
    <col min="13060" max="13060" width="16" style="1" bestFit="1" customWidth="1"/>
    <col min="13061" max="13061" width="21.7109375" style="1" bestFit="1" customWidth="1"/>
    <col min="13062" max="13062" width="23.42578125" style="1" bestFit="1" customWidth="1"/>
    <col min="13063" max="13063" width="11.42578125" style="1"/>
    <col min="13064" max="13064" width="21.5703125" style="1" customWidth="1"/>
    <col min="13065" max="13066" width="11.42578125" style="1"/>
    <col min="13067" max="13067" width="12.85546875" style="1" bestFit="1" customWidth="1"/>
    <col min="13068" max="13068" width="11.42578125" style="1"/>
    <col min="13069" max="13069" width="27.7109375" style="1" bestFit="1" customWidth="1"/>
    <col min="13070" max="13070" width="12.28515625" style="1" bestFit="1" customWidth="1"/>
    <col min="13071" max="13313" width="11.42578125" style="1"/>
    <col min="13314" max="13314" width="22.28515625" style="1" bestFit="1" customWidth="1"/>
    <col min="13315" max="13315" width="11.42578125" style="1"/>
    <col min="13316" max="13316" width="16" style="1" bestFit="1" customWidth="1"/>
    <col min="13317" max="13317" width="21.7109375" style="1" bestFit="1" customWidth="1"/>
    <col min="13318" max="13318" width="23.42578125" style="1" bestFit="1" customWidth="1"/>
    <col min="13319" max="13319" width="11.42578125" style="1"/>
    <col min="13320" max="13320" width="21.5703125" style="1" customWidth="1"/>
    <col min="13321" max="13322" width="11.42578125" style="1"/>
    <col min="13323" max="13323" width="12.85546875" style="1" bestFit="1" customWidth="1"/>
    <col min="13324" max="13324" width="11.42578125" style="1"/>
    <col min="13325" max="13325" width="27.7109375" style="1" bestFit="1" customWidth="1"/>
    <col min="13326" max="13326" width="12.28515625" style="1" bestFit="1" customWidth="1"/>
    <col min="13327" max="13569" width="11.42578125" style="1"/>
    <col min="13570" max="13570" width="22.28515625" style="1" bestFit="1" customWidth="1"/>
    <col min="13571" max="13571" width="11.42578125" style="1"/>
    <col min="13572" max="13572" width="16" style="1" bestFit="1" customWidth="1"/>
    <col min="13573" max="13573" width="21.7109375" style="1" bestFit="1" customWidth="1"/>
    <col min="13574" max="13574" width="23.42578125" style="1" bestFit="1" customWidth="1"/>
    <col min="13575" max="13575" width="11.42578125" style="1"/>
    <col min="13576" max="13576" width="21.5703125" style="1" customWidth="1"/>
    <col min="13577" max="13578" width="11.42578125" style="1"/>
    <col min="13579" max="13579" width="12.85546875" style="1" bestFit="1" customWidth="1"/>
    <col min="13580" max="13580" width="11.42578125" style="1"/>
    <col min="13581" max="13581" width="27.7109375" style="1" bestFit="1" customWidth="1"/>
    <col min="13582" max="13582" width="12.28515625" style="1" bestFit="1" customWidth="1"/>
    <col min="13583" max="13825" width="11.42578125" style="1"/>
    <col min="13826" max="13826" width="22.28515625" style="1" bestFit="1" customWidth="1"/>
    <col min="13827" max="13827" width="11.42578125" style="1"/>
    <col min="13828" max="13828" width="16" style="1" bestFit="1" customWidth="1"/>
    <col min="13829" max="13829" width="21.7109375" style="1" bestFit="1" customWidth="1"/>
    <col min="13830" max="13830" width="23.42578125" style="1" bestFit="1" customWidth="1"/>
    <col min="13831" max="13831" width="11.42578125" style="1"/>
    <col min="13832" max="13832" width="21.5703125" style="1" customWidth="1"/>
    <col min="13833" max="13834" width="11.42578125" style="1"/>
    <col min="13835" max="13835" width="12.85546875" style="1" bestFit="1" customWidth="1"/>
    <col min="13836" max="13836" width="11.42578125" style="1"/>
    <col min="13837" max="13837" width="27.7109375" style="1" bestFit="1" customWidth="1"/>
    <col min="13838" max="13838" width="12.28515625" style="1" bestFit="1" customWidth="1"/>
    <col min="13839" max="14081" width="11.42578125" style="1"/>
    <col min="14082" max="14082" width="22.28515625" style="1" bestFit="1" customWidth="1"/>
    <col min="14083" max="14083" width="11.42578125" style="1"/>
    <col min="14084" max="14084" width="16" style="1" bestFit="1" customWidth="1"/>
    <col min="14085" max="14085" width="21.7109375" style="1" bestFit="1" customWidth="1"/>
    <col min="14086" max="14086" width="23.42578125" style="1" bestFit="1" customWidth="1"/>
    <col min="14087" max="14087" width="11.42578125" style="1"/>
    <col min="14088" max="14088" width="21.5703125" style="1" customWidth="1"/>
    <col min="14089" max="14090" width="11.42578125" style="1"/>
    <col min="14091" max="14091" width="12.85546875" style="1" bestFit="1" customWidth="1"/>
    <col min="14092" max="14092" width="11.42578125" style="1"/>
    <col min="14093" max="14093" width="27.7109375" style="1" bestFit="1" customWidth="1"/>
    <col min="14094" max="14094" width="12.28515625" style="1" bestFit="1" customWidth="1"/>
    <col min="14095" max="14337" width="11.42578125" style="1"/>
    <col min="14338" max="14338" width="22.28515625" style="1" bestFit="1" customWidth="1"/>
    <col min="14339" max="14339" width="11.42578125" style="1"/>
    <col min="14340" max="14340" width="16" style="1" bestFit="1" customWidth="1"/>
    <col min="14341" max="14341" width="21.7109375" style="1" bestFit="1" customWidth="1"/>
    <col min="14342" max="14342" width="23.42578125" style="1" bestFit="1" customWidth="1"/>
    <col min="14343" max="14343" width="11.42578125" style="1"/>
    <col min="14344" max="14344" width="21.5703125" style="1" customWidth="1"/>
    <col min="14345" max="14346" width="11.42578125" style="1"/>
    <col min="14347" max="14347" width="12.85546875" style="1" bestFit="1" customWidth="1"/>
    <col min="14348" max="14348" width="11.42578125" style="1"/>
    <col min="14349" max="14349" width="27.7109375" style="1" bestFit="1" customWidth="1"/>
    <col min="14350" max="14350" width="12.28515625" style="1" bestFit="1" customWidth="1"/>
    <col min="14351" max="14593" width="11.42578125" style="1"/>
    <col min="14594" max="14594" width="22.28515625" style="1" bestFit="1" customWidth="1"/>
    <col min="14595" max="14595" width="11.42578125" style="1"/>
    <col min="14596" max="14596" width="16" style="1" bestFit="1" customWidth="1"/>
    <col min="14597" max="14597" width="21.7109375" style="1" bestFit="1" customWidth="1"/>
    <col min="14598" max="14598" width="23.42578125" style="1" bestFit="1" customWidth="1"/>
    <col min="14599" max="14599" width="11.42578125" style="1"/>
    <col min="14600" max="14600" width="21.5703125" style="1" customWidth="1"/>
    <col min="14601" max="14602" width="11.42578125" style="1"/>
    <col min="14603" max="14603" width="12.85546875" style="1" bestFit="1" customWidth="1"/>
    <col min="14604" max="14604" width="11.42578125" style="1"/>
    <col min="14605" max="14605" width="27.7109375" style="1" bestFit="1" customWidth="1"/>
    <col min="14606" max="14606" width="12.28515625" style="1" bestFit="1" customWidth="1"/>
    <col min="14607" max="14849" width="11.42578125" style="1"/>
    <col min="14850" max="14850" width="22.28515625" style="1" bestFit="1" customWidth="1"/>
    <col min="14851" max="14851" width="11.42578125" style="1"/>
    <col min="14852" max="14852" width="16" style="1" bestFit="1" customWidth="1"/>
    <col min="14853" max="14853" width="21.7109375" style="1" bestFit="1" customWidth="1"/>
    <col min="14854" max="14854" width="23.42578125" style="1" bestFit="1" customWidth="1"/>
    <col min="14855" max="14855" width="11.42578125" style="1"/>
    <col min="14856" max="14856" width="21.5703125" style="1" customWidth="1"/>
    <col min="14857" max="14858" width="11.42578125" style="1"/>
    <col min="14859" max="14859" width="12.85546875" style="1" bestFit="1" customWidth="1"/>
    <col min="14860" max="14860" width="11.42578125" style="1"/>
    <col min="14861" max="14861" width="27.7109375" style="1" bestFit="1" customWidth="1"/>
    <col min="14862" max="14862" width="12.28515625" style="1" bestFit="1" customWidth="1"/>
    <col min="14863" max="15105" width="11.42578125" style="1"/>
    <col min="15106" max="15106" width="22.28515625" style="1" bestFit="1" customWidth="1"/>
    <col min="15107" max="15107" width="11.42578125" style="1"/>
    <col min="15108" max="15108" width="16" style="1" bestFit="1" customWidth="1"/>
    <col min="15109" max="15109" width="21.7109375" style="1" bestFit="1" customWidth="1"/>
    <col min="15110" max="15110" width="23.42578125" style="1" bestFit="1" customWidth="1"/>
    <col min="15111" max="15111" width="11.42578125" style="1"/>
    <col min="15112" max="15112" width="21.5703125" style="1" customWidth="1"/>
    <col min="15113" max="15114" width="11.42578125" style="1"/>
    <col min="15115" max="15115" width="12.85546875" style="1" bestFit="1" customWidth="1"/>
    <col min="15116" max="15116" width="11.42578125" style="1"/>
    <col min="15117" max="15117" width="27.7109375" style="1" bestFit="1" customWidth="1"/>
    <col min="15118" max="15118" width="12.28515625" style="1" bestFit="1" customWidth="1"/>
    <col min="15119" max="15361" width="11.42578125" style="1"/>
    <col min="15362" max="15362" width="22.28515625" style="1" bestFit="1" customWidth="1"/>
    <col min="15363" max="15363" width="11.42578125" style="1"/>
    <col min="15364" max="15364" width="16" style="1" bestFit="1" customWidth="1"/>
    <col min="15365" max="15365" width="21.7109375" style="1" bestFit="1" customWidth="1"/>
    <col min="15366" max="15366" width="23.42578125" style="1" bestFit="1" customWidth="1"/>
    <col min="15367" max="15367" width="11.42578125" style="1"/>
    <col min="15368" max="15368" width="21.5703125" style="1" customWidth="1"/>
    <col min="15369" max="15370" width="11.42578125" style="1"/>
    <col min="15371" max="15371" width="12.85546875" style="1" bestFit="1" customWidth="1"/>
    <col min="15372" max="15372" width="11.42578125" style="1"/>
    <col min="15373" max="15373" width="27.7109375" style="1" bestFit="1" customWidth="1"/>
    <col min="15374" max="15374" width="12.28515625" style="1" bestFit="1" customWidth="1"/>
    <col min="15375" max="15617" width="11.42578125" style="1"/>
    <col min="15618" max="15618" width="22.28515625" style="1" bestFit="1" customWidth="1"/>
    <col min="15619" max="15619" width="11.42578125" style="1"/>
    <col min="15620" max="15620" width="16" style="1" bestFit="1" customWidth="1"/>
    <col min="15621" max="15621" width="21.7109375" style="1" bestFit="1" customWidth="1"/>
    <col min="15622" max="15622" width="23.42578125" style="1" bestFit="1" customWidth="1"/>
    <col min="15623" max="15623" width="11.42578125" style="1"/>
    <col min="15624" max="15624" width="21.5703125" style="1" customWidth="1"/>
    <col min="15625" max="15626" width="11.42578125" style="1"/>
    <col min="15627" max="15627" width="12.85546875" style="1" bestFit="1" customWidth="1"/>
    <col min="15628" max="15628" width="11.42578125" style="1"/>
    <col min="15629" max="15629" width="27.7109375" style="1" bestFit="1" customWidth="1"/>
    <col min="15630" max="15630" width="12.28515625" style="1" bestFit="1" customWidth="1"/>
    <col min="15631" max="15873" width="11.42578125" style="1"/>
    <col min="15874" max="15874" width="22.28515625" style="1" bestFit="1" customWidth="1"/>
    <col min="15875" max="15875" width="11.42578125" style="1"/>
    <col min="15876" max="15876" width="16" style="1" bestFit="1" customWidth="1"/>
    <col min="15877" max="15877" width="21.7109375" style="1" bestFit="1" customWidth="1"/>
    <col min="15878" max="15878" width="23.42578125" style="1" bestFit="1" customWidth="1"/>
    <col min="15879" max="15879" width="11.42578125" style="1"/>
    <col min="15880" max="15880" width="21.5703125" style="1" customWidth="1"/>
    <col min="15881" max="15882" width="11.42578125" style="1"/>
    <col min="15883" max="15883" width="12.85546875" style="1" bestFit="1" customWidth="1"/>
    <col min="15884" max="15884" width="11.42578125" style="1"/>
    <col min="15885" max="15885" width="27.7109375" style="1" bestFit="1" customWidth="1"/>
    <col min="15886" max="15886" width="12.28515625" style="1" bestFit="1" customWidth="1"/>
    <col min="15887" max="16129" width="11.42578125" style="1"/>
    <col min="16130" max="16130" width="22.28515625" style="1" bestFit="1" customWidth="1"/>
    <col min="16131" max="16131" width="11.42578125" style="1"/>
    <col min="16132" max="16132" width="16" style="1" bestFit="1" customWidth="1"/>
    <col min="16133" max="16133" width="21.7109375" style="1" bestFit="1" customWidth="1"/>
    <col min="16134" max="16134" width="23.42578125" style="1" bestFit="1" customWidth="1"/>
    <col min="16135" max="16135" width="11.42578125" style="1"/>
    <col min="16136" max="16136" width="21.5703125" style="1" customWidth="1"/>
    <col min="16137" max="16138" width="11.42578125" style="1"/>
    <col min="16139" max="16139" width="12.85546875" style="1" bestFit="1" customWidth="1"/>
    <col min="16140" max="16140" width="11.42578125" style="1"/>
    <col min="16141" max="16141" width="27.7109375" style="1" bestFit="1" customWidth="1"/>
    <col min="16142" max="16142" width="12.28515625" style="1" bestFit="1" customWidth="1"/>
    <col min="16143" max="16384" width="11.42578125" style="1"/>
  </cols>
  <sheetData>
    <row r="1" spans="2:25" s="7" customFormat="1" ht="50.1" customHeight="1" thickBot="1" x14ac:dyDescent="0.25">
      <c r="B1" s="779" t="s">
        <v>251</v>
      </c>
      <c r="C1" s="780"/>
      <c r="D1" s="780"/>
      <c r="E1" s="780"/>
      <c r="F1" s="780"/>
      <c r="G1" s="780"/>
      <c r="H1" s="780"/>
      <c r="I1" s="780"/>
      <c r="J1" s="780"/>
      <c r="K1" s="780"/>
      <c r="L1" s="780"/>
      <c r="M1" s="780"/>
      <c r="N1" s="781"/>
      <c r="O1" s="77"/>
      <c r="P1" s="64"/>
      <c r="Q1" s="65"/>
      <c r="R1" s="64"/>
      <c r="S1" s="64"/>
      <c r="T1" s="84"/>
      <c r="U1" s="64"/>
      <c r="V1" s="64"/>
      <c r="W1" s="9"/>
      <c r="X1" s="9"/>
    </row>
    <row r="2" spans="2:25" ht="24.95" customHeight="1" thickBot="1" x14ac:dyDescent="0.25">
      <c r="B2" s="934" t="s">
        <v>16</v>
      </c>
      <c r="C2" s="934"/>
      <c r="D2" s="935">
        <v>43498</v>
      </c>
      <c r="E2" s="936"/>
      <c r="G2" s="934" t="s">
        <v>35</v>
      </c>
      <c r="H2" s="934"/>
      <c r="I2" s="937">
        <f ca="1">NOW()</f>
        <v>45720.672637847223</v>
      </c>
      <c r="J2" s="937"/>
      <c r="K2" s="8"/>
      <c r="M2" s="866" t="s">
        <v>19</v>
      </c>
      <c r="N2" s="866"/>
    </row>
    <row r="3" spans="2:25" ht="24.95" customHeight="1" thickBot="1" x14ac:dyDescent="0.25">
      <c r="B3" s="867" t="s">
        <v>17</v>
      </c>
      <c r="C3" s="867"/>
      <c r="D3" s="841">
        <v>44981</v>
      </c>
      <c r="E3" s="842"/>
      <c r="F3" s="843"/>
      <c r="H3" s="686" t="s">
        <v>244</v>
      </c>
      <c r="I3" s="844">
        <v>0.47569444444444442</v>
      </c>
      <c r="J3" s="845"/>
      <c r="M3" s="846"/>
      <c r="N3" s="847"/>
    </row>
    <row r="4" spans="2:25" ht="24.95" customHeight="1" thickBot="1" x14ac:dyDescent="0.25">
      <c r="C4" s="1"/>
      <c r="D4" s="1"/>
      <c r="E4" s="1"/>
      <c r="F4" s="1"/>
      <c r="M4" s="848">
        <f>IF((Capacité_carburant_Max_08-Carburant_utilisable_08)&gt;0,Capacité_carburant_Max_08-Carburant_utilisable_08,"Tout le carburant est utilisable.")</f>
        <v>10.400000000000006</v>
      </c>
      <c r="N4" s="848"/>
    </row>
    <row r="5" spans="2:25" ht="24.95" customHeight="1" thickBot="1" x14ac:dyDescent="0.25">
      <c r="C5" s="874" t="s">
        <v>50</v>
      </c>
      <c r="D5" s="875"/>
      <c r="E5" s="875"/>
      <c r="F5" s="876"/>
      <c r="H5" s="967" t="str">
        <f>UPPER("Génération du graphique")</f>
        <v>GÉNÉRATION DU GRAPHIQUE</v>
      </c>
      <c r="I5" s="968"/>
      <c r="J5" s="968"/>
      <c r="K5" s="969"/>
      <c r="L5" s="2"/>
      <c r="M5" s="829" t="s">
        <v>42</v>
      </c>
      <c r="N5" s="831"/>
      <c r="O5" s="81"/>
      <c r="P5" s="67" t="s">
        <v>14</v>
      </c>
    </row>
    <row r="6" spans="2:25" s="2" customFormat="1" ht="39" customHeight="1" thickBot="1" x14ac:dyDescent="0.25">
      <c r="B6" s="4"/>
      <c r="C6" s="430" t="s">
        <v>0</v>
      </c>
      <c r="D6" s="431" t="s">
        <v>11</v>
      </c>
      <c r="E6" s="431" t="s">
        <v>10</v>
      </c>
      <c r="F6" s="432" t="s">
        <v>9</v>
      </c>
      <c r="H6" s="386" t="s">
        <v>104</v>
      </c>
      <c r="I6" s="387" t="s">
        <v>2</v>
      </c>
      <c r="J6" s="387" t="s">
        <v>3</v>
      </c>
      <c r="K6" s="321" t="s">
        <v>13</v>
      </c>
      <c r="L6" s="1"/>
      <c r="M6" s="419" t="s">
        <v>118</v>
      </c>
      <c r="N6" s="251">
        <v>0.72</v>
      </c>
      <c r="O6" s="216"/>
      <c r="P6" s="71" t="s">
        <v>15</v>
      </c>
      <c r="Q6" s="72"/>
      <c r="T6" s="85"/>
      <c r="U6" s="71"/>
      <c r="V6" s="71"/>
      <c r="W6" s="11"/>
      <c r="X6" s="11"/>
    </row>
    <row r="7" spans="2:25" ht="24.95" customHeight="1" thickBot="1" x14ac:dyDescent="0.25">
      <c r="B7" s="334" t="s">
        <v>1</v>
      </c>
      <c r="C7" s="356"/>
      <c r="D7" s="351">
        <v>522</v>
      </c>
      <c r="E7" s="330">
        <v>0.44400000000000001</v>
      </c>
      <c r="F7" s="331">
        <f>E7*D7</f>
        <v>231.768</v>
      </c>
      <c r="H7" s="388" t="s">
        <v>86</v>
      </c>
      <c r="I7" s="389">
        <f>F7</f>
        <v>231.768</v>
      </c>
      <c r="J7" s="390">
        <f>Masse_à_vide_08</f>
        <v>522</v>
      </c>
      <c r="K7" s="391">
        <f t="shared" ref="K7:K12" si="0">I7/J7</f>
        <v>0.44400000000000001</v>
      </c>
      <c r="M7" s="254" t="s">
        <v>49</v>
      </c>
      <c r="N7" s="627">
        <f>Carburant_Aile_Gauche_08+Carburant_Aile_Droite_08</f>
        <v>80</v>
      </c>
      <c r="R7" s="849" t="str">
        <f>UPPER("Moment à l'atterrissage")</f>
        <v>MOMENT À L'ATTERRISSAGE</v>
      </c>
      <c r="S7" s="850"/>
      <c r="T7" s="131" t="s">
        <v>11</v>
      </c>
      <c r="U7" s="131" t="s">
        <v>10</v>
      </c>
      <c r="V7" s="132" t="s">
        <v>9</v>
      </c>
    </row>
    <row r="8" spans="2:25" ht="24.95" customHeight="1" x14ac:dyDescent="0.2">
      <c r="B8" s="270" t="s">
        <v>4</v>
      </c>
      <c r="C8" s="357"/>
      <c r="D8" s="353">
        <v>74</v>
      </c>
      <c r="E8" s="350">
        <v>0.51400000000000001</v>
      </c>
      <c r="F8" s="333">
        <f>E8*D8</f>
        <v>38.036000000000001</v>
      </c>
      <c r="H8" s="236" t="s">
        <v>81</v>
      </c>
      <c r="I8" s="346">
        <v>315</v>
      </c>
      <c r="J8" s="238">
        <f>Masse_Max_Décollage_08</f>
        <v>750</v>
      </c>
      <c r="K8" s="239">
        <f t="shared" si="0"/>
        <v>0.42</v>
      </c>
      <c r="M8" s="405" t="s">
        <v>165</v>
      </c>
      <c r="N8" s="628">
        <v>50</v>
      </c>
      <c r="R8" s="340" t="s">
        <v>1</v>
      </c>
      <c r="S8" s="394"/>
      <c r="T8" s="395">
        <f t="shared" ref="T8:U11" si="1">D7</f>
        <v>522</v>
      </c>
      <c r="U8" s="396">
        <f t="shared" si="1"/>
        <v>0.44400000000000001</v>
      </c>
      <c r="V8" s="397">
        <f>T8*U8</f>
        <v>231.768</v>
      </c>
    </row>
    <row r="9" spans="2:25" ht="24.95" customHeight="1" thickBot="1" x14ac:dyDescent="0.25">
      <c r="B9" s="270" t="s">
        <v>5</v>
      </c>
      <c r="C9" s="357"/>
      <c r="D9" s="354">
        <v>74</v>
      </c>
      <c r="E9" s="350">
        <v>0.51400000000000001</v>
      </c>
      <c r="F9" s="333">
        <f>E9*D9</f>
        <v>38.036000000000001</v>
      </c>
      <c r="H9" s="236" t="s">
        <v>82</v>
      </c>
      <c r="I9" s="346">
        <v>393.2</v>
      </c>
      <c r="J9" s="238">
        <f>Masse_Max_Décollage_08</f>
        <v>750</v>
      </c>
      <c r="K9" s="239">
        <f t="shared" si="0"/>
        <v>0.52426666666666666</v>
      </c>
      <c r="M9" s="405" t="s">
        <v>166</v>
      </c>
      <c r="N9" s="629">
        <v>30</v>
      </c>
      <c r="P9" s="70" t="s">
        <v>94</v>
      </c>
      <c r="R9" s="133" t="s">
        <v>4</v>
      </c>
      <c r="S9" s="134"/>
      <c r="T9" s="135">
        <f t="shared" si="1"/>
        <v>74</v>
      </c>
      <c r="U9" s="136">
        <f t="shared" si="1"/>
        <v>0.51400000000000001</v>
      </c>
      <c r="V9" s="137">
        <f>T9*U9</f>
        <v>38.036000000000001</v>
      </c>
    </row>
    <row r="10" spans="2:25" ht="24.95" customHeight="1" thickBot="1" x14ac:dyDescent="0.25">
      <c r="B10" s="270" t="s">
        <v>80</v>
      </c>
      <c r="C10" s="357"/>
      <c r="D10" s="355">
        <v>5</v>
      </c>
      <c r="E10" s="350">
        <v>1.3</v>
      </c>
      <c r="F10" s="333">
        <f>E10*D10</f>
        <v>6.5</v>
      </c>
      <c r="H10" s="243" t="s">
        <v>83</v>
      </c>
      <c r="I10" s="415">
        <v>291.06</v>
      </c>
      <c r="J10" s="245">
        <f>Masse_à_vide_08</f>
        <v>522</v>
      </c>
      <c r="K10" s="246">
        <f t="shared" si="0"/>
        <v>0.55758620689655169</v>
      </c>
      <c r="M10" s="254" t="s">
        <v>91</v>
      </c>
      <c r="N10" s="630">
        <f>(Carburant_Aile_Gauche_08+Carburant_Aile_Droite_08)-10.4</f>
        <v>69.599999999999994</v>
      </c>
      <c r="P10" s="67" t="s">
        <v>95</v>
      </c>
      <c r="Q10" s="73">
        <f>Consommation_minute_08</f>
        <v>0.28000000000000003</v>
      </c>
      <c r="R10" s="133" t="s">
        <v>5</v>
      </c>
      <c r="S10" s="134"/>
      <c r="T10" s="135">
        <f t="shared" si="1"/>
        <v>74</v>
      </c>
      <c r="U10" s="136">
        <f t="shared" si="1"/>
        <v>0.51400000000000001</v>
      </c>
      <c r="V10" s="137">
        <f>T10*U10</f>
        <v>38.036000000000001</v>
      </c>
    </row>
    <row r="11" spans="2:25" ht="24.95" customHeight="1" thickBot="1" x14ac:dyDescent="0.25">
      <c r="B11" s="385" t="s">
        <v>23</v>
      </c>
      <c r="C11" s="336">
        <f>Carburant_Aile_Gauche_08+Carburant_Aile_Droite_08</f>
        <v>80</v>
      </c>
      <c r="D11" s="445">
        <f>Densité_Carburant_08*C11</f>
        <v>57.599999999999994</v>
      </c>
      <c r="E11" s="338">
        <v>0.32900000000000001</v>
      </c>
      <c r="F11" s="339">
        <f>E11*D11</f>
        <v>18.950399999999998</v>
      </c>
      <c r="H11" s="393" t="s">
        <v>108</v>
      </c>
      <c r="I11" s="389">
        <f>Moment_Décollage_08</f>
        <v>333.29039999999998</v>
      </c>
      <c r="J11" s="567">
        <f>Masse_Décollage_08</f>
        <v>732.6</v>
      </c>
      <c r="K11" s="391">
        <f t="shared" si="0"/>
        <v>0.45494185094185091</v>
      </c>
      <c r="M11" s="254" t="s">
        <v>29</v>
      </c>
      <c r="N11" s="631">
        <v>16.8</v>
      </c>
      <c r="P11" s="67" t="s">
        <v>96</v>
      </c>
      <c r="Q11" s="68">
        <f>Carburant_utilisable_08</f>
        <v>69.599999999999994</v>
      </c>
      <c r="R11" s="133" t="s">
        <v>80</v>
      </c>
      <c r="S11" s="134"/>
      <c r="T11" s="135">
        <f>Bagages_08</f>
        <v>5</v>
      </c>
      <c r="U11" s="136">
        <f t="shared" si="1"/>
        <v>1.3</v>
      </c>
      <c r="V11" s="137">
        <f>T11*U11</f>
        <v>6.5</v>
      </c>
    </row>
    <row r="12" spans="2:25" ht="24.95" customHeight="1" thickBot="1" x14ac:dyDescent="0.25">
      <c r="B12" s="305" t="s">
        <v>12</v>
      </c>
      <c r="C12" s="306">
        <f>SUM(C11:C11)</f>
        <v>80</v>
      </c>
      <c r="D12" s="307">
        <f>SUM(D7:D11)</f>
        <v>732.6</v>
      </c>
      <c r="E12" s="315">
        <f>Moment_Décollage_08/Masse_Décollage_08</f>
        <v>0.45494185094185091</v>
      </c>
      <c r="F12" s="384">
        <f>SUM(F7:F11)</f>
        <v>333.29039999999998</v>
      </c>
      <c r="H12" s="349" t="s">
        <v>109</v>
      </c>
      <c r="I12" s="347">
        <f>Moment_Atterrissage_08</f>
        <v>322.01491199999998</v>
      </c>
      <c r="J12" s="566">
        <f>Masse_Atterrissage_08</f>
        <v>698.32799999999997</v>
      </c>
      <c r="K12" s="348">
        <f t="shared" si="0"/>
        <v>0.46112272742894456</v>
      </c>
      <c r="M12" s="248" t="s">
        <v>8</v>
      </c>
      <c r="N12" s="263">
        <f>N11/60</f>
        <v>0.28000000000000003</v>
      </c>
      <c r="P12" s="67" t="s">
        <v>97</v>
      </c>
      <c r="Q12" s="75">
        <f>Q11/Q10</f>
        <v>248.57142857142853</v>
      </c>
      <c r="R12" s="179" t="s">
        <v>162</v>
      </c>
      <c r="S12" s="623">
        <f>(Carburant_Aile_Gauche_08+Carburant_Aile_Droite_08)-Carburant_Bloc_08</f>
        <v>32.400000000000006</v>
      </c>
      <c r="T12" s="180">
        <f>S12*Densité_Carburant_08</f>
        <v>23.328000000000003</v>
      </c>
      <c r="U12" s="181">
        <f>E11</f>
        <v>0.32900000000000001</v>
      </c>
      <c r="V12" s="182">
        <f>T12*U12</f>
        <v>7.6749120000000017</v>
      </c>
      <c r="Y12" s="24"/>
    </row>
    <row r="13" spans="2:25" ht="24.95" customHeight="1" thickBot="1" x14ac:dyDescent="0.25">
      <c r="B13" s="974" t="str">
        <f>IF(C12&gt;120,"* ATTENTION ! Le total carburant est supérieur à la capacité totale !","")</f>
        <v/>
      </c>
      <c r="C13" s="974"/>
      <c r="D13" s="974"/>
      <c r="E13" s="974"/>
      <c r="F13" s="974"/>
      <c r="H13" s="787" t="str">
        <f>IF(Nbre_Aérodromes_08&lt;=0,"* Minimum 1 aérodrome de destination","")</f>
        <v/>
      </c>
      <c r="I13" s="787"/>
      <c r="J13" s="787"/>
      <c r="K13" s="787"/>
      <c r="L13" s="86"/>
      <c r="M13" s="973" t="str">
        <f>IF(Capacité_carburant_Max_08&gt;120,"ERREUR Emport carburant !","Emport carburant Ok !")</f>
        <v>Emport carburant Ok !</v>
      </c>
      <c r="N13" s="973"/>
      <c r="O13" s="79"/>
      <c r="P13" s="67" t="s">
        <v>98</v>
      </c>
      <c r="Q13" s="68">
        <f>ROUNDDOWN(Q12/60,0)</f>
        <v>4</v>
      </c>
      <c r="R13" s="313" t="s">
        <v>161</v>
      </c>
      <c r="S13" s="613">
        <f>SUM(S12)</f>
        <v>32.400000000000006</v>
      </c>
      <c r="T13" s="314">
        <f>SUM(T8:T12)</f>
        <v>698.32799999999997</v>
      </c>
      <c r="U13" s="315">
        <f>Moment_Atterrissage_08/Masse_Atterrissage_08</f>
        <v>0.46112272742894456</v>
      </c>
      <c r="V13" s="316">
        <f>SUM(V8:V12)</f>
        <v>322.01491199999998</v>
      </c>
      <c r="Y13" s="24"/>
    </row>
    <row r="14" spans="2:25" ht="24.95" customHeight="1" thickBot="1" x14ac:dyDescent="0.25">
      <c r="B14" s="3"/>
      <c r="D14" s="953" t="str">
        <f>UPPER("Masse Totale :")</f>
        <v>MASSE TOTALE :</v>
      </c>
      <c r="E14" s="954"/>
      <c r="F14" s="317">
        <f>IF(Masse_Décollage_08&gt;Masse_Max_Décollage_08,"DANGER",Masse_Décollage_08)</f>
        <v>732.6</v>
      </c>
      <c r="H14" s="804" t="str">
        <f>UPPER("02-Données du vol")</f>
        <v>02-DONNÉES DU VOL</v>
      </c>
      <c r="I14" s="943"/>
      <c r="J14" s="671"/>
      <c r="K14" s="670"/>
      <c r="M14" s="975" t="str">
        <f>UPPER("Carburant Exploit. générale")</f>
        <v>CARBURANT EXPLOIT. GÉNÉRALE</v>
      </c>
      <c r="N14" s="976"/>
      <c r="O14" s="588"/>
      <c r="P14" s="14" t="s">
        <v>99</v>
      </c>
      <c r="Q14" s="592">
        <f>Q12-(Q13*60)</f>
        <v>8.5714285714285268</v>
      </c>
      <c r="R14" s="851" t="str">
        <f>IF(S12=Réserve_Finale_08,"Le carburant restant dans le réservoir principal correspond à la réserve finale","")</f>
        <v/>
      </c>
      <c r="S14" s="851"/>
      <c r="T14" s="851"/>
      <c r="U14" s="851"/>
      <c r="V14" s="851"/>
      <c r="X14" s="34"/>
      <c r="Y14" s="24"/>
    </row>
    <row r="15" spans="2:25" ht="24.95" customHeight="1" thickTop="1" thickBot="1" x14ac:dyDescent="0.25">
      <c r="B15" s="3"/>
      <c r="D15" s="958" t="str">
        <f>UPPER("moment :")</f>
        <v>MOMENT :</v>
      </c>
      <c r="E15" s="959"/>
      <c r="F15" s="318">
        <f>Moment_Décollage_08</f>
        <v>333.29039999999998</v>
      </c>
      <c r="H15" s="983" t="s">
        <v>147</v>
      </c>
      <c r="I15" s="984"/>
      <c r="J15" s="813" t="str">
        <f>IF(Durée_Totale_Vol_08&gt;Q12,"Erreur !",TEXT(Q13,"#0")&amp;" h et "&amp;TEXT(Q14,"#0")&amp;" mn")</f>
        <v>4 h et 9 mn</v>
      </c>
      <c r="K15" s="814"/>
      <c r="M15" s="977" t="str">
        <f>IF(Carburant_Bloc_08&gt;Carburant_utilisable_08,"DANGER - Total carburant insuffisant !","OK - Quantité de carburant suffisante")</f>
        <v>OK - Quantité de carburant suffisante</v>
      </c>
      <c r="N15" s="978"/>
      <c r="O15" s="585"/>
      <c r="P15" s="14"/>
      <c r="Q15" s="18"/>
      <c r="R15" s="581"/>
      <c r="S15" s="580" t="s">
        <v>236</v>
      </c>
      <c r="T15" s="580" t="s">
        <v>33</v>
      </c>
      <c r="U15" s="580" t="s">
        <v>234</v>
      </c>
      <c r="V15" s="580" t="s">
        <v>233</v>
      </c>
      <c r="W15" s="580" t="s">
        <v>235</v>
      </c>
      <c r="X15" s="580" t="s">
        <v>237</v>
      </c>
      <c r="Y15" s="580" t="s">
        <v>240</v>
      </c>
    </row>
    <row r="16" spans="2:25" ht="24.95" customHeight="1" thickBot="1" x14ac:dyDescent="0.25">
      <c r="B16" s="979" t="str">
        <f>IF(Masse_Décollage_08&gt;Masse_Max_Décollage_08,"* ATTENTION ! La masse max au décollage est dépassée !","")</f>
        <v/>
      </c>
      <c r="C16" s="979"/>
      <c r="D16" s="979"/>
      <c r="E16" s="979"/>
      <c r="F16" s="979"/>
      <c r="H16" s="980" t="s">
        <v>21</v>
      </c>
      <c r="I16" s="981"/>
      <c r="J16" s="982"/>
      <c r="K16" s="446">
        <v>120</v>
      </c>
      <c r="M16" s="126" t="s">
        <v>102</v>
      </c>
      <c r="N16" s="639">
        <f>Durée_Totale_Vol_08*Consommation_minute_08</f>
        <v>33.6</v>
      </c>
      <c r="O16" s="586"/>
      <c r="P16" s="595" t="s">
        <v>141</v>
      </c>
      <c r="Q16" s="18"/>
      <c r="R16" s="581" t="s">
        <v>243</v>
      </c>
      <c r="S16" s="582">
        <v>60</v>
      </c>
      <c r="T16" s="579">
        <f>Carburant_Aile_Gauche_08</f>
        <v>50</v>
      </c>
      <c r="U16" s="583">
        <f>1-V16</f>
        <v>0.16666666666666663</v>
      </c>
      <c r="V16" s="583">
        <f>T16/S16</f>
        <v>0.83333333333333337</v>
      </c>
      <c r="W16" s="584">
        <v>0.2</v>
      </c>
      <c r="X16" s="584">
        <v>0.2</v>
      </c>
      <c r="Y16" s="584">
        <v>0.2</v>
      </c>
    </row>
    <row r="17" spans="2:25" ht="24.95" customHeight="1" thickBot="1" x14ac:dyDescent="0.25">
      <c r="B17" s="967" t="s">
        <v>30</v>
      </c>
      <c r="C17" s="968"/>
      <c r="D17" s="968"/>
      <c r="E17" s="968"/>
      <c r="F17" s="969"/>
      <c r="H17" s="970" t="s">
        <v>22</v>
      </c>
      <c r="I17" s="971"/>
      <c r="J17" s="972"/>
      <c r="K17" s="447">
        <v>1</v>
      </c>
      <c r="M17" s="126" t="s">
        <v>103</v>
      </c>
      <c r="N17" s="639">
        <f>Nbre_Aérodromes_08*(Consommation_minute_08*10)</f>
        <v>2.8000000000000003</v>
      </c>
      <c r="O17" s="586"/>
      <c r="P17" s="14" t="s">
        <v>122</v>
      </c>
      <c r="Q17" s="589">
        <f>Carburant_Bloc_08/Durée_Totale_Vol_08</f>
        <v>0.39666666666666661</v>
      </c>
      <c r="R17" s="581"/>
      <c r="S17" s="580" t="s">
        <v>236</v>
      </c>
      <c r="T17" s="580" t="s">
        <v>33</v>
      </c>
      <c r="U17" s="580" t="s">
        <v>234</v>
      </c>
      <c r="V17" s="580" t="s">
        <v>233</v>
      </c>
      <c r="W17" s="580" t="s">
        <v>235</v>
      </c>
      <c r="X17" s="580" t="s">
        <v>237</v>
      </c>
      <c r="Y17" s="580" t="s">
        <v>240</v>
      </c>
    </row>
    <row r="18" spans="2:25" ht="24.95" customHeight="1" thickBot="1" x14ac:dyDescent="0.25">
      <c r="B18" s="989" t="s">
        <v>87</v>
      </c>
      <c r="C18" s="990"/>
      <c r="D18" s="434" t="s">
        <v>33</v>
      </c>
      <c r="E18" s="991" t="s">
        <v>34</v>
      </c>
      <c r="F18" s="992"/>
      <c r="H18" s="979" t="str">
        <f>IF(Moment_Décollage_08&gt;393.2,"* DANGER : Avion hors centrage arrière, INTERDICTION de décoller !","")</f>
        <v/>
      </c>
      <c r="I18" s="979"/>
      <c r="J18" s="979"/>
      <c r="K18" s="979"/>
      <c r="M18" s="103" t="s">
        <v>143</v>
      </c>
      <c r="N18" s="640">
        <f>SUM(N16:N17)</f>
        <v>36.4</v>
      </c>
      <c r="O18" s="586"/>
      <c r="P18" s="14" t="s">
        <v>25</v>
      </c>
      <c r="Q18" s="18">
        <f>Q11</f>
        <v>69.599999999999994</v>
      </c>
      <c r="R18" s="581" t="s">
        <v>242</v>
      </c>
      <c r="S18" s="582">
        <v>60</v>
      </c>
      <c r="T18" s="579">
        <f>Carburant_Aile_Droite_08</f>
        <v>30</v>
      </c>
      <c r="U18" s="583">
        <f>1-V18</f>
        <v>0.5</v>
      </c>
      <c r="V18" s="583">
        <f>T18/S18</f>
        <v>0.5</v>
      </c>
      <c r="W18" s="584">
        <v>0.2</v>
      </c>
      <c r="X18" s="584">
        <v>0.2</v>
      </c>
      <c r="Y18" s="584">
        <v>0.2</v>
      </c>
    </row>
    <row r="19" spans="2:25" ht="24.95" customHeight="1" thickBot="1" x14ac:dyDescent="0.25">
      <c r="B19" s="376" t="s">
        <v>31</v>
      </c>
      <c r="C19" s="435">
        <v>750</v>
      </c>
      <c r="D19" s="571">
        <f>Masse_Décollage_08</f>
        <v>732.6</v>
      </c>
      <c r="E19" s="993" t="str">
        <f>IF(D19&lt;=C19,"Ok !","DANGER !")</f>
        <v>Ok !</v>
      </c>
      <c r="F19" s="994"/>
      <c r="L19" s="42"/>
      <c r="M19" s="448" t="s">
        <v>43</v>
      </c>
      <c r="N19" s="271" t="s">
        <v>14</v>
      </c>
      <c r="O19" s="586"/>
      <c r="P19" s="14" t="s">
        <v>26</v>
      </c>
      <c r="Q19" s="592">
        <f>Q18/Q17</f>
        <v>175.46218487394958</v>
      </c>
      <c r="R19" s="581"/>
      <c r="S19" s="579">
        <f>Capacité_carburant_Max_08-Carburant_utilisable_08</f>
        <v>10.400000000000006</v>
      </c>
      <c r="T19" s="599"/>
      <c r="U19" s="597"/>
      <c r="V19" s="49"/>
      <c r="W19" s="49"/>
      <c r="X19" s="49"/>
      <c r="Y19" s="49"/>
    </row>
    <row r="20" spans="2:25" ht="24.95" customHeight="1" thickBot="1" x14ac:dyDescent="0.25">
      <c r="B20" s="262" t="s">
        <v>32</v>
      </c>
      <c r="C20" s="266">
        <v>750</v>
      </c>
      <c r="D20" s="572">
        <f>T13</f>
        <v>698.32799999999997</v>
      </c>
      <c r="E20" s="817" t="str">
        <f>IF(D20&lt;=C20,"Ok !","DANGER !")</f>
        <v>Ok !</v>
      </c>
      <c r="F20" s="818"/>
      <c r="M20" s="126" t="s">
        <v>144</v>
      </c>
      <c r="N20" s="641">
        <f>IF(Durée_Totale_Vol_08&gt;0,IF(N19="Jour",Consommation_minute_08*30,Consommation_minute_08*45),0)</f>
        <v>8.4</v>
      </c>
      <c r="O20" s="586"/>
      <c r="P20" s="14" t="s">
        <v>27</v>
      </c>
      <c r="Q20" s="592">
        <f>ROUNDDOWN(Q19/60,0)</f>
        <v>2</v>
      </c>
      <c r="R20" s="10"/>
      <c r="S20" s="10"/>
      <c r="T20" s="46"/>
      <c r="U20" s="10"/>
      <c r="V20" s="10"/>
      <c r="X20" s="34"/>
    </row>
    <row r="21" spans="2:25" ht="24.95" customHeight="1" x14ac:dyDescent="0.2">
      <c r="B21" s="10" t="s">
        <v>74</v>
      </c>
      <c r="C21" s="13"/>
      <c r="D21" s="29">
        <f>C19-D19</f>
        <v>17.399999999999977</v>
      </c>
      <c r="M21" s="987" t="str">
        <f>IF(N19="Jour","** Réserve finale de carburant de 30 mn","** Réserve finale de carburant de 45 mn")</f>
        <v>** Réserve finale de carburant de 30 mn</v>
      </c>
      <c r="N21" s="988"/>
      <c r="O21" s="586"/>
      <c r="P21" s="14" t="s">
        <v>28</v>
      </c>
      <c r="Q21" s="592">
        <f>Q19-(Q20*60)</f>
        <v>55.462184873949582</v>
      </c>
      <c r="R21" s="10"/>
      <c r="S21" s="10"/>
      <c r="T21" s="46"/>
      <c r="U21" s="10"/>
      <c r="V21" s="10"/>
      <c r="X21" s="34"/>
    </row>
    <row r="22" spans="2:25" ht="24.95" customHeight="1" x14ac:dyDescent="0.2">
      <c r="M22" s="126" t="s">
        <v>145</v>
      </c>
      <c r="N22" s="642">
        <f>(Consommation_horaire_08/60)*10</f>
        <v>2.8000000000000003</v>
      </c>
      <c r="O22" s="588"/>
      <c r="P22" s="14"/>
      <c r="Q22" s="18"/>
      <c r="R22" s="10"/>
      <c r="S22" s="10"/>
      <c r="T22" s="46"/>
      <c r="U22" s="10"/>
      <c r="V22" s="10"/>
      <c r="X22" s="34"/>
    </row>
    <row r="23" spans="2:25" ht="24.95" customHeight="1" thickBot="1" x14ac:dyDescent="0.25">
      <c r="M23" s="437" t="s">
        <v>146</v>
      </c>
      <c r="N23" s="438">
        <f>((Délestage_08+Carburant_Roulage_08)-Carburant_Destination_08)/Carburant_Destination_08</f>
        <v>0.16666666666666649</v>
      </c>
      <c r="O23" s="586"/>
      <c r="P23" s="595" t="s">
        <v>93</v>
      </c>
      <c r="Q23" s="14"/>
      <c r="R23" s="14"/>
      <c r="S23" s="14"/>
      <c r="T23" s="602"/>
      <c r="U23" s="14"/>
      <c r="V23" s="14"/>
      <c r="W23" s="14"/>
      <c r="X23" s="34"/>
    </row>
    <row r="24" spans="2:25" ht="24.95" customHeight="1" thickBot="1" x14ac:dyDescent="0.25">
      <c r="M24" s="301" t="str">
        <f>UPPER("Carburant au bloc :")</f>
        <v>CARBURANT AU BLOC :</v>
      </c>
      <c r="N24" s="643">
        <f>Délestage_08+Réserve_Finale_08+Carburant_Roulage_08</f>
        <v>47.599999999999994</v>
      </c>
      <c r="O24" s="590"/>
      <c r="P24" s="14" t="s">
        <v>89</v>
      </c>
      <c r="Q24" s="591">
        <f>Masse_Décollage_08</f>
        <v>732.6</v>
      </c>
      <c r="R24" s="14"/>
      <c r="S24" s="14"/>
      <c r="T24" s="602"/>
      <c r="U24" s="14"/>
      <c r="V24" s="14"/>
      <c r="W24" s="14"/>
      <c r="X24" s="34"/>
    </row>
    <row r="25" spans="2:25" ht="24.95" customHeight="1" x14ac:dyDescent="0.2">
      <c r="M25" s="329" t="s">
        <v>139</v>
      </c>
      <c r="N25" s="644">
        <f>((Carburant_Bloc_08)/Durée_Totale_Vol_08)*60</f>
        <v>23.799999999999997</v>
      </c>
      <c r="O25" s="14"/>
      <c r="P25" s="14" t="s">
        <v>90</v>
      </c>
      <c r="Q25" s="591">
        <f>J12</f>
        <v>698.32799999999997</v>
      </c>
      <c r="R25" s="14"/>
      <c r="S25" s="14"/>
      <c r="T25" s="602"/>
      <c r="U25" s="14"/>
      <c r="V25" s="14"/>
      <c r="W25" s="14"/>
      <c r="X25" s="34"/>
    </row>
    <row r="26" spans="2:25" ht="24.95" customHeight="1" x14ac:dyDescent="0.2">
      <c r="M26" s="133" t="s">
        <v>148</v>
      </c>
      <c r="N26" s="645">
        <f>(Carburant_Aile_Gauche_08+Carburant_Aile_Droite_08)-Carburant_Bloc_08</f>
        <v>32.400000000000006</v>
      </c>
      <c r="O26" s="588"/>
      <c r="P26" s="14"/>
      <c r="Q26" s="18"/>
      <c r="R26" s="14"/>
      <c r="S26" s="14"/>
      <c r="T26" s="602"/>
      <c r="U26" s="14"/>
      <c r="V26" s="14"/>
      <c r="W26" s="14"/>
      <c r="X26" s="34"/>
    </row>
    <row r="27" spans="2:25" ht="24.95" customHeight="1" thickBot="1" x14ac:dyDescent="0.25">
      <c r="L27" s="12"/>
      <c r="M27" s="262" t="s">
        <v>263</v>
      </c>
      <c r="N27" s="646">
        <f>(Carburant_utilisable_08)-Carburant_Bloc_08</f>
        <v>22</v>
      </c>
      <c r="O27" s="588"/>
      <c r="P27" s="603" t="s">
        <v>142</v>
      </c>
      <c r="Q27" s="14"/>
      <c r="R27" s="602"/>
      <c r="S27" s="14"/>
      <c r="T27" s="602"/>
      <c r="U27" s="14"/>
      <c r="V27" s="14"/>
      <c r="W27" s="14"/>
      <c r="X27" s="34"/>
    </row>
    <row r="28" spans="2:25" ht="24.95" customHeight="1" x14ac:dyDescent="0.2">
      <c r="N28" s="37"/>
      <c r="O28" s="588"/>
      <c r="P28" s="602" t="s">
        <v>100</v>
      </c>
      <c r="Q28" s="691">
        <f>C19</f>
        <v>750</v>
      </c>
      <c r="R28" s="14"/>
      <c r="S28" s="14"/>
      <c r="T28" s="602"/>
      <c r="U28" s="14"/>
      <c r="V28" s="14"/>
      <c r="W28" s="14"/>
      <c r="X28" s="34"/>
    </row>
    <row r="29" spans="2:25" ht="18" customHeight="1" x14ac:dyDescent="0.2">
      <c r="O29" s="588"/>
      <c r="P29" s="602" t="s">
        <v>101</v>
      </c>
      <c r="Q29" s="691">
        <f>D7</f>
        <v>522</v>
      </c>
      <c r="R29" s="14"/>
      <c r="S29" s="14"/>
      <c r="T29" s="602"/>
      <c r="U29" s="14"/>
      <c r="V29" s="14"/>
      <c r="W29" s="14"/>
      <c r="X29" s="34"/>
    </row>
    <row r="30" spans="2:25" ht="18" customHeight="1" x14ac:dyDescent="0.2">
      <c r="R30" s="34"/>
      <c r="S30" s="34"/>
      <c r="T30" s="574"/>
      <c r="U30" s="34"/>
      <c r="V30" s="34"/>
      <c r="W30" s="34"/>
      <c r="X30" s="34"/>
    </row>
    <row r="31" spans="2:25" ht="18" customHeight="1" x14ac:dyDescent="0.2">
      <c r="R31" s="34"/>
      <c r="S31" s="34"/>
      <c r="T31" s="574"/>
      <c r="U31" s="34"/>
      <c r="V31" s="34"/>
      <c r="W31" s="34"/>
      <c r="X31" s="34"/>
    </row>
    <row r="32" spans="2:25" ht="18" customHeight="1" x14ac:dyDescent="0.2">
      <c r="R32" s="34"/>
      <c r="S32" s="34"/>
      <c r="T32" s="574"/>
      <c r="U32" s="34"/>
      <c r="V32" s="34"/>
      <c r="W32" s="34"/>
      <c r="X32" s="34"/>
    </row>
    <row r="33" spans="13:24" x14ac:dyDescent="0.2">
      <c r="R33" s="34"/>
      <c r="S33" s="34"/>
      <c r="T33" s="574"/>
      <c r="U33" s="34"/>
      <c r="V33" s="34"/>
      <c r="W33" s="34"/>
      <c r="X33" s="34"/>
    </row>
    <row r="34" spans="13:24" x14ac:dyDescent="0.2">
      <c r="R34" s="34"/>
      <c r="S34" s="34"/>
      <c r="T34" s="574"/>
      <c r="U34" s="34"/>
      <c r="V34" s="34"/>
      <c r="W34" s="34"/>
      <c r="X34" s="34"/>
    </row>
    <row r="35" spans="13:24" x14ac:dyDescent="0.2">
      <c r="R35" s="34"/>
      <c r="S35" s="34"/>
      <c r="T35" s="574"/>
      <c r="U35" s="34"/>
      <c r="V35" s="34"/>
      <c r="W35" s="34"/>
      <c r="X35" s="34"/>
    </row>
    <row r="36" spans="13:24" x14ac:dyDescent="0.2">
      <c r="R36" s="34"/>
      <c r="S36" s="34"/>
      <c r="T36" s="574"/>
      <c r="U36" s="34"/>
      <c r="V36" s="34"/>
      <c r="W36" s="34"/>
      <c r="X36" s="34"/>
    </row>
    <row r="38" spans="13:24" x14ac:dyDescent="0.2">
      <c r="M38" s="119"/>
      <c r="N38" s="117"/>
    </row>
    <row r="39" spans="13:24" x14ac:dyDescent="0.2">
      <c r="M39" s="119"/>
      <c r="N39" s="117"/>
    </row>
    <row r="40" spans="13:24" x14ac:dyDescent="0.2">
      <c r="M40" s="119"/>
      <c r="N40" s="117"/>
    </row>
    <row r="41" spans="13:24" x14ac:dyDescent="0.2">
      <c r="M41" s="119"/>
      <c r="N41" s="117"/>
    </row>
    <row r="49" spans="12:14" ht="19.5" thickBot="1" x14ac:dyDescent="0.25"/>
    <row r="50" spans="12:14" x14ac:dyDescent="0.2">
      <c r="M50" s="985" t="s">
        <v>18</v>
      </c>
      <c r="N50" s="986"/>
    </row>
    <row r="51" spans="12:14" x14ac:dyDescent="0.2">
      <c r="M51" s="439"/>
      <c r="N51" s="440"/>
    </row>
    <row r="52" spans="12:14" x14ac:dyDescent="0.2">
      <c r="M52" s="441"/>
      <c r="N52" s="442"/>
    </row>
    <row r="53" spans="12:14" x14ac:dyDescent="0.2">
      <c r="M53" s="441"/>
      <c r="N53" s="442"/>
    </row>
    <row r="54" spans="12:14" x14ac:dyDescent="0.2">
      <c r="M54" s="441"/>
      <c r="N54" s="442"/>
    </row>
    <row r="55" spans="12:14" x14ac:dyDescent="0.2">
      <c r="M55" s="441"/>
      <c r="N55" s="442"/>
    </row>
    <row r="56" spans="12:14" x14ac:dyDescent="0.2">
      <c r="M56" s="441"/>
      <c r="N56" s="442"/>
    </row>
    <row r="57" spans="12:14" ht="19.5" thickBot="1" x14ac:dyDescent="0.25">
      <c r="L57" s="678"/>
      <c r="M57" s="443"/>
      <c r="N57" s="444"/>
    </row>
  </sheetData>
  <sheetProtection algorithmName="SHA-512" hashValue="FUIUltiN+GVfvLg3+UaHZgNwVjJz/WJMN2N6qvXqjckKwAuGlxsGrZ/whqQ9ICfhLlALtDtKyMsjw+WZgYzDTw==" saltValue="CjcZJSp9rl3tLZnNfdmt4w==" spinCount="100000" sheet="1" objects="1" scenarios="1" selectLockedCells="1"/>
  <mergeCells count="37">
    <mergeCell ref="E20:F20"/>
    <mergeCell ref="M21:N21"/>
    <mergeCell ref="M50:N50"/>
    <mergeCell ref="B17:F17"/>
    <mergeCell ref="H17:J17"/>
    <mergeCell ref="B18:C18"/>
    <mergeCell ref="E18:F18"/>
    <mergeCell ref="H18:K18"/>
    <mergeCell ref="E19:F19"/>
    <mergeCell ref="D15:E15"/>
    <mergeCell ref="H15:I15"/>
    <mergeCell ref="J15:K15"/>
    <mergeCell ref="M15:N15"/>
    <mergeCell ref="B16:F16"/>
    <mergeCell ref="H16:J16"/>
    <mergeCell ref="R7:S7"/>
    <mergeCell ref="B13:F13"/>
    <mergeCell ref="H13:K13"/>
    <mergeCell ref="M13:N13"/>
    <mergeCell ref="D14:E14"/>
    <mergeCell ref="H14:I14"/>
    <mergeCell ref="M14:N14"/>
    <mergeCell ref="R14:V14"/>
    <mergeCell ref="C5:F5"/>
    <mergeCell ref="H5:K5"/>
    <mergeCell ref="M5:N5"/>
    <mergeCell ref="B1:N1"/>
    <mergeCell ref="B2:C2"/>
    <mergeCell ref="D2:E2"/>
    <mergeCell ref="G2:H2"/>
    <mergeCell ref="I2:J2"/>
    <mergeCell ref="M2:N2"/>
    <mergeCell ref="B3:C3"/>
    <mergeCell ref="D3:F3"/>
    <mergeCell ref="I3:J3"/>
    <mergeCell ref="M3:N3"/>
    <mergeCell ref="M4:N4"/>
  </mergeCells>
  <conditionalFormatting sqref="B13:F13">
    <cfRule type="cellIs" dxfId="125" priority="23" operator="equal">
      <formula>"* ATTENTION ! Le total carburant est supérieur à la capacité totale !"</formula>
    </cfRule>
  </conditionalFormatting>
  <conditionalFormatting sqref="B16:F16">
    <cfRule type="cellIs" dxfId="124" priority="22" operator="equal">
      <formula>"* ATTENTION ! La masse max au décollage est dépassée !"</formula>
    </cfRule>
  </conditionalFormatting>
  <conditionalFormatting sqref="C12">
    <cfRule type="cellIs" dxfId="123" priority="12" operator="greaterThan">
      <formula>120</formula>
    </cfRule>
  </conditionalFormatting>
  <conditionalFormatting sqref="D10">
    <cfRule type="cellIs" dxfId="122" priority="10" operator="greaterThan">
      <formula>40</formula>
    </cfRule>
  </conditionalFormatting>
  <conditionalFormatting sqref="D12">
    <cfRule type="cellIs" dxfId="121" priority="3" operator="greaterThan">
      <formula>$C$19</formula>
    </cfRule>
  </conditionalFormatting>
  <conditionalFormatting sqref="D19">
    <cfRule type="cellIs" dxfId="120" priority="15" operator="greaterThan">
      <formula>$C$19</formula>
    </cfRule>
  </conditionalFormatting>
  <conditionalFormatting sqref="D20">
    <cfRule type="cellIs" dxfId="119" priority="14" operator="greaterThan">
      <formula>$C$20</formula>
    </cfRule>
  </conditionalFormatting>
  <conditionalFormatting sqref="E19:E20">
    <cfRule type="cellIs" dxfId="118" priority="16" operator="equal">
      <formula>"DANGER !"</formula>
    </cfRule>
    <cfRule type="cellIs" dxfId="117" priority="17" operator="equal">
      <formula>"Ok !"</formula>
    </cfRule>
  </conditionalFormatting>
  <conditionalFormatting sqref="F12">
    <cfRule type="cellIs" dxfId="116" priority="11" operator="greaterThan">
      <formula>564</formula>
    </cfRule>
  </conditionalFormatting>
  <conditionalFormatting sqref="F14">
    <cfRule type="cellIs" dxfId="115" priority="26" operator="greaterThan">
      <formula>750</formula>
    </cfRule>
    <cfRule type="cellIs" dxfId="114" priority="29" operator="equal">
      <formula>"DANGER"</formula>
    </cfRule>
  </conditionalFormatting>
  <conditionalFormatting sqref="F15">
    <cfRule type="cellIs" dxfId="113" priority="9" operator="greaterThan">
      <formula>"356.4"</formula>
    </cfRule>
  </conditionalFormatting>
  <conditionalFormatting sqref="H18">
    <cfRule type="cellIs" dxfId="112" priority="21" operator="equal">
      <formula>"* DANGER : Avion hors centrage arrière, INTERDICTION de décoller !"</formula>
    </cfRule>
  </conditionalFormatting>
  <conditionalFormatting sqref="H13:K13">
    <cfRule type="cellIs" dxfId="111" priority="4" operator="equal">
      <formula>"* Minimum 1 aérodrome de destination"</formula>
    </cfRule>
  </conditionalFormatting>
  <conditionalFormatting sqref="J15">
    <cfRule type="cellIs" dxfId="110" priority="1" operator="equal">
      <formula>"Erreur !"</formula>
    </cfRule>
  </conditionalFormatting>
  <conditionalFormatting sqref="K16">
    <cfRule type="expression" dxfId="109" priority="31">
      <formula>$N$27&lt;0</formula>
    </cfRule>
    <cfRule type="expression" dxfId="108" priority="32">
      <formula>$K$17&gt;$Q$12</formula>
    </cfRule>
  </conditionalFormatting>
  <conditionalFormatting sqref="K17">
    <cfRule type="cellIs" dxfId="107" priority="5" operator="lessThanOrEqual">
      <formula>0</formula>
    </cfRule>
  </conditionalFormatting>
  <conditionalFormatting sqref="M15">
    <cfRule type="cellIs" dxfId="106" priority="27" operator="equal">
      <formula>"DANGER - Total carburant insuffisant !"</formula>
    </cfRule>
    <cfRule type="cellIs" dxfId="105" priority="30" operator="equal">
      <formula>"OK - Quantité de carburant suffisante"</formula>
    </cfRule>
  </conditionalFormatting>
  <conditionalFormatting sqref="M21">
    <cfRule type="cellIs" dxfId="104" priority="24" operator="equal">
      <formula>"** Réserve finale de carburant de 45 mn"</formula>
    </cfRule>
    <cfRule type="cellIs" dxfId="103" priority="25" operator="equal">
      <formula>"** Réserve finale de carburant de 30 mn"</formula>
    </cfRule>
  </conditionalFormatting>
  <conditionalFormatting sqref="M13:N13">
    <cfRule type="cellIs" dxfId="102" priority="18" operator="equal">
      <formula>"Emport carburant Ok !"</formula>
    </cfRule>
    <cfRule type="cellIs" dxfId="101" priority="19" operator="equal">
      <formula>"ERREUR emport carburant !"</formula>
    </cfRule>
  </conditionalFormatting>
  <conditionalFormatting sqref="N7">
    <cfRule type="cellIs" dxfId="100" priority="28" operator="greaterThan">
      <formula>120</formula>
    </cfRule>
  </conditionalFormatting>
  <conditionalFormatting sqref="N8:N9">
    <cfRule type="cellIs" dxfId="99" priority="13" operator="greaterThan">
      <formula>60</formula>
    </cfRule>
  </conditionalFormatting>
  <conditionalFormatting sqref="N10">
    <cfRule type="cellIs" dxfId="98" priority="20" operator="greaterThan">
      <formula>109.6</formula>
    </cfRule>
  </conditionalFormatting>
  <conditionalFormatting sqref="N24">
    <cfRule type="expression" dxfId="97" priority="8">
      <formula>$N$24&gt;$N$10</formula>
    </cfRule>
  </conditionalFormatting>
  <conditionalFormatting sqref="N26:N27">
    <cfRule type="cellIs" dxfId="96" priority="6" operator="lessThan">
      <formula>0</formula>
    </cfRule>
  </conditionalFormatting>
  <conditionalFormatting sqref="S12">
    <cfRule type="cellIs" dxfId="95" priority="2" operator="lessThan">
      <formula>0</formula>
    </cfRule>
  </conditionalFormatting>
  <dataValidations count="1">
    <dataValidation type="list" allowBlank="1" showInputMessage="1" showErrorMessage="1" sqref="N19" xr:uid="{A26DAE17-CA4B-40D3-821A-6C220ED5AC46}">
      <formula1>$P$5:$P$6</formula1>
    </dataValidation>
  </dataValidations>
  <printOptions horizontalCentered="1" verticalCentered="1"/>
  <pageMargins left="0.19685039370078741" right="0.19685039370078741" top="0.19685039370078741" bottom="0.19685039370078741" header="0.51181102362204722" footer="0.51181102362204722"/>
  <pageSetup paperSize="9" scale="45" orientation="landscape" horizontalDpi="300" verticalDpi="300" r:id="rId1"/>
  <headerFooter alignWithMargins="0">
    <oddFooter>&amp;CDate d'édition : &amp;D</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246</vt:i4>
      </vt:variant>
    </vt:vector>
  </HeadingPairs>
  <TitlesOfParts>
    <vt:vector size="259" baseType="lpstr">
      <vt:lpstr>A LIRE AVANT UTILISATION</vt:lpstr>
      <vt:lpstr>Gestion carburant</vt:lpstr>
      <vt:lpstr>Convertisseur</vt:lpstr>
      <vt:lpstr>1-PA18-F-GLLN</vt:lpstr>
      <vt:lpstr>2-Cessna 152-F-GHLU</vt:lpstr>
      <vt:lpstr>3-Cessna 172-F-HAFL</vt:lpstr>
      <vt:lpstr>4-DR 401-F-HIGI</vt:lpstr>
      <vt:lpstr>5-AQUILA AT01-F-GRFY</vt:lpstr>
      <vt:lpstr>6-AQUILA AT01-F-HDJR</vt:lpstr>
      <vt:lpstr>7-Cirrus SR22-N576CD </vt:lpstr>
      <vt:lpstr>8-CAP10 182 cv F-GDTF</vt:lpstr>
      <vt:lpstr>9-TB20-F-GNCL</vt:lpstr>
      <vt:lpstr>Feuil1</vt:lpstr>
      <vt:lpstr>Autonomie_théorique_06</vt:lpstr>
      <vt:lpstr>'5-AQUILA AT01-F-GRFY'!Autonomie_théorique_07</vt:lpstr>
      <vt:lpstr>'6-AQUILA AT01-F-HDJR'!Autonomie_théorique_08</vt:lpstr>
      <vt:lpstr>Bagages_01</vt:lpstr>
      <vt:lpstr>Bagages_02</vt:lpstr>
      <vt:lpstr>Bagages_03</vt:lpstr>
      <vt:lpstr>'4-DR 401-F-HIGI'!Bagages_06</vt:lpstr>
      <vt:lpstr>Bagages_07</vt:lpstr>
      <vt:lpstr>'6-AQUILA AT01-F-HDJR'!Bagages_08</vt:lpstr>
      <vt:lpstr>Bagages_09</vt:lpstr>
      <vt:lpstr>Bagages_10</vt:lpstr>
      <vt:lpstr>'9-TB20-F-GNCL'!Bagages_11</vt:lpstr>
      <vt:lpstr>Bras_Levier_Atterrissage_01</vt:lpstr>
      <vt:lpstr>Bras_Levier_Décollage_01</vt:lpstr>
      <vt:lpstr>'1-PA18-F-GLLN'!Capacité_carburant_Max_01</vt:lpstr>
      <vt:lpstr>'2-Cessna 152-F-GHLU'!Capacité_carburant_Max_02</vt:lpstr>
      <vt:lpstr>'3-Cessna 172-F-HAFL'!Capacité_carburant_Max_03</vt:lpstr>
      <vt:lpstr>'4-DR 401-F-HIGI'!Capacité_carburant_Max_06</vt:lpstr>
      <vt:lpstr>'8-CAP10 182 cv F-GDTF'!Capacité_carburant_Max_06</vt:lpstr>
      <vt:lpstr>'5-AQUILA AT01-F-GRFY'!Capacité_carburant_Max_07</vt:lpstr>
      <vt:lpstr>'6-AQUILA AT01-F-HDJR'!Capacité_carburant_Max_08</vt:lpstr>
      <vt:lpstr>'7-Cirrus SR22-N576CD '!Capacité_carburant_Max_09</vt:lpstr>
      <vt:lpstr>'8-CAP10 182 cv F-GDTF'!Capacité_carburant_Max_10</vt:lpstr>
      <vt:lpstr>'9-TB20-F-GNCL'!Capacité_carburant_Max_11</vt:lpstr>
      <vt:lpstr>'1-PA18-F-GLLN'!Carburant_Aile_Droite_01</vt:lpstr>
      <vt:lpstr>'2-Cessna 152-F-GHLU'!Carburant_Aile_Droite_02</vt:lpstr>
      <vt:lpstr>'3-Cessna 172-F-HAFL'!Carburant_Aile_Droite_03</vt:lpstr>
      <vt:lpstr>'4-DR 401-F-HIGI'!Carburant_Aile_Droite_06</vt:lpstr>
      <vt:lpstr>Carburant_Aile_Droite_07</vt:lpstr>
      <vt:lpstr>'6-AQUILA AT01-F-HDJR'!Carburant_Aile_Droite_08</vt:lpstr>
      <vt:lpstr>'9-TB20-F-GNCL'!Carburant_Aile_Droite_11</vt:lpstr>
      <vt:lpstr>'1-PA18-F-GLLN'!Carburant_Aile_Gauche_01</vt:lpstr>
      <vt:lpstr>'2-Cessna 152-F-GHLU'!Carburant_Aile_Gauche_02</vt:lpstr>
      <vt:lpstr>'3-Cessna 172-F-HAFL'!Carburant_Aile_Gauche_03</vt:lpstr>
      <vt:lpstr>'4-DR 401-F-HIGI'!Carburant_Aile_Gauche_06</vt:lpstr>
      <vt:lpstr>'5-AQUILA AT01-F-GRFY'!Carburant_Aile_Gauche_07</vt:lpstr>
      <vt:lpstr>'6-AQUILA AT01-F-HDJR'!Carburant_Aile_Gauche_08</vt:lpstr>
      <vt:lpstr>'7-Cirrus SR22-N576CD '!Carburant_Aile_Gauche_09</vt:lpstr>
      <vt:lpstr>'9-TB20-F-GNCL'!Carburant_Aile_Gauche_11</vt:lpstr>
      <vt:lpstr>'1-PA18-F-GLLN'!Carburant_Bloc_01</vt:lpstr>
      <vt:lpstr>'2-Cessna 152-F-GHLU'!Carburant_Bloc_02</vt:lpstr>
      <vt:lpstr>'3-Cessna 172-F-HAFL'!Carburant_Bloc_03</vt:lpstr>
      <vt:lpstr>'4-DR 401-F-HIGI'!Carburant_Bloc_06</vt:lpstr>
      <vt:lpstr>'8-CAP10 182 cv F-GDTF'!Carburant_Bloc_06</vt:lpstr>
      <vt:lpstr>'5-AQUILA AT01-F-GRFY'!Carburant_Bloc_07</vt:lpstr>
      <vt:lpstr>'6-AQUILA AT01-F-HDJR'!Carburant_Bloc_08</vt:lpstr>
      <vt:lpstr>'7-Cirrus SR22-N576CD '!Carburant_Bloc_09</vt:lpstr>
      <vt:lpstr>'8-CAP10 182 cv F-GDTF'!Carburant_Bloc_10</vt:lpstr>
      <vt:lpstr>'9-TB20-F-GNCL'!Carburant_Bloc_11</vt:lpstr>
      <vt:lpstr>Carburant_Destination_01</vt:lpstr>
      <vt:lpstr>Carburant_Destination_02</vt:lpstr>
      <vt:lpstr>Carburant_Destination_03</vt:lpstr>
      <vt:lpstr>Carburant_Destination_06</vt:lpstr>
      <vt:lpstr>Carburant_Destination_07</vt:lpstr>
      <vt:lpstr>'6-AQUILA AT01-F-HDJR'!Carburant_Destination_08</vt:lpstr>
      <vt:lpstr>Carburant_Destination_09</vt:lpstr>
      <vt:lpstr>Carburant_Destination_10</vt:lpstr>
      <vt:lpstr>'9-TB20-F-GNCL'!Carburant_Destination_11</vt:lpstr>
      <vt:lpstr>'3-Cessna 172-F-HAFL'!Carburant_Principal_03</vt:lpstr>
      <vt:lpstr>'4-DR 401-F-HIGI'!Carburant_Principal_06</vt:lpstr>
      <vt:lpstr>'7-Cirrus SR22-N576CD '!Carburant_Principal_09</vt:lpstr>
      <vt:lpstr>'8-CAP10 182 cv F-GDTF'!Carburant_Principal_10</vt:lpstr>
      <vt:lpstr>'9-TB20-F-GNCL'!Carburant_Principal_11</vt:lpstr>
      <vt:lpstr>Carburant_Roulage_01</vt:lpstr>
      <vt:lpstr>Carburant_Roulage_02</vt:lpstr>
      <vt:lpstr>Carburant_Roulage_03</vt:lpstr>
      <vt:lpstr>Carburant_Roulage_06</vt:lpstr>
      <vt:lpstr>Carburant_Roulage_07</vt:lpstr>
      <vt:lpstr>'6-AQUILA AT01-F-HDJR'!Carburant_Roulage_08</vt:lpstr>
      <vt:lpstr>Carburant_Roulage_09</vt:lpstr>
      <vt:lpstr>Carburant_Roulage_10</vt:lpstr>
      <vt:lpstr>'9-TB20-F-GNCL'!Carburant_Roulage_11</vt:lpstr>
      <vt:lpstr>'3-Cessna 172-F-HAFL'!Carburant_Secondaire_03</vt:lpstr>
      <vt:lpstr>'4-DR 401-F-HIGI'!Carburant_Secondaire_06</vt:lpstr>
      <vt:lpstr>'7-Cirrus SR22-N576CD '!Carburant_Secondaire_09</vt:lpstr>
      <vt:lpstr>'8-CAP10 182 cv F-GDTF'!Carburant_Secondaire_10</vt:lpstr>
      <vt:lpstr>'9-TB20-F-GNCL'!Carburant_Secondaire_11</vt:lpstr>
      <vt:lpstr>'1-PA18-F-GLLN'!Carburant_utilisable_01</vt:lpstr>
      <vt:lpstr>'2-Cessna 152-F-GHLU'!Carburant_utilisable_02</vt:lpstr>
      <vt:lpstr>'3-Cessna 172-F-HAFL'!Carburant_utilisable_03</vt:lpstr>
      <vt:lpstr>'4-DR 401-F-HIGI'!Carburant_utilisable_06</vt:lpstr>
      <vt:lpstr>'8-CAP10 182 cv F-GDTF'!Carburant_utilisable_06</vt:lpstr>
      <vt:lpstr>'5-AQUILA AT01-F-GRFY'!Carburant_utilisable_07</vt:lpstr>
      <vt:lpstr>'6-AQUILA AT01-F-HDJR'!Carburant_utilisable_08</vt:lpstr>
      <vt:lpstr>'7-Cirrus SR22-N576CD '!Carburant_utilisable_09</vt:lpstr>
      <vt:lpstr>'8-CAP10 182 cv F-GDTF'!Carburant_utilisable_10</vt:lpstr>
      <vt:lpstr>'9-TB20-F-GNCL'!Carburant_utilisable_11</vt:lpstr>
      <vt:lpstr>Catégorie_10</vt:lpstr>
      <vt:lpstr>Consommation_horaire_01</vt:lpstr>
      <vt:lpstr>Consommation_horaire_02</vt:lpstr>
      <vt:lpstr>Consommation_horaire_03</vt:lpstr>
      <vt:lpstr>Consommation_horaire_06</vt:lpstr>
      <vt:lpstr>Consommation_horaire_07</vt:lpstr>
      <vt:lpstr>'6-AQUILA AT01-F-HDJR'!Consommation_horaire_08</vt:lpstr>
      <vt:lpstr>Consommation_horaire_09</vt:lpstr>
      <vt:lpstr>Consommation_horaire_10</vt:lpstr>
      <vt:lpstr>'9-TB20-F-GNCL'!Consommation_horaire_11</vt:lpstr>
      <vt:lpstr>'1-PA18-F-GLLN'!Consommation_minute_01</vt:lpstr>
      <vt:lpstr>'2-Cessna 152-F-GHLU'!Consommation_minute_02</vt:lpstr>
      <vt:lpstr>'3-Cessna 172-F-HAFL'!Consommation_minute_03</vt:lpstr>
      <vt:lpstr>'4-DR 401-F-HIGI'!Consommation_minute_06</vt:lpstr>
      <vt:lpstr>'5-AQUILA AT01-F-GRFY'!Consommation_minute_07</vt:lpstr>
      <vt:lpstr>'6-AQUILA AT01-F-HDJR'!Consommation_minute_08</vt:lpstr>
      <vt:lpstr>'7-Cirrus SR22-N576CD '!Consommation_minute_09</vt:lpstr>
      <vt:lpstr>'8-CAP10 182 cv F-GDTF'!Consommation_minute_10</vt:lpstr>
      <vt:lpstr>'9-TB20-F-GNCL'!Consommation_minute_11</vt:lpstr>
      <vt:lpstr>'1-PA18-F-GLLN'!Délestage_01</vt:lpstr>
      <vt:lpstr>'2-Cessna 152-F-GHLU'!Délestage_02</vt:lpstr>
      <vt:lpstr>Délestage_03</vt:lpstr>
      <vt:lpstr>Délestage_06</vt:lpstr>
      <vt:lpstr>Délestage_07</vt:lpstr>
      <vt:lpstr>'6-AQUILA AT01-F-HDJR'!Délestage_08</vt:lpstr>
      <vt:lpstr>Délestage_09</vt:lpstr>
      <vt:lpstr>Délestage_10</vt:lpstr>
      <vt:lpstr>'9-TB20-F-GNCL'!Délestage_11</vt:lpstr>
      <vt:lpstr>'1-PA18-F-GLLN'!Densité_Carburant_01</vt:lpstr>
      <vt:lpstr>'2-Cessna 152-F-GHLU'!Densité_Carburant_02</vt:lpstr>
      <vt:lpstr>'3-Cessna 172-F-HAFL'!Densité_Carburant_03</vt:lpstr>
      <vt:lpstr>'4-DR 401-F-HIGI'!Densité_Carburant_06</vt:lpstr>
      <vt:lpstr>'5-AQUILA AT01-F-GRFY'!Densité_Carburant_07</vt:lpstr>
      <vt:lpstr>'6-AQUILA AT01-F-HDJR'!Densité_Carburant_08</vt:lpstr>
      <vt:lpstr>'7-Cirrus SR22-N576CD '!Densité_Carburant_09</vt:lpstr>
      <vt:lpstr>'8-CAP10 182 cv F-GDTF'!Densité_Carburant_10</vt:lpstr>
      <vt:lpstr>'9-TB20-F-GNCL'!Densité_Carburant_11</vt:lpstr>
      <vt:lpstr>'1-PA18-F-GLLN'!Durée_Totale_Vol_01</vt:lpstr>
      <vt:lpstr>'2-Cessna 152-F-GHLU'!Durée_Totale_Vol_02</vt:lpstr>
      <vt:lpstr>'3-Cessna 172-F-HAFL'!Durée_Totale_Vol_03</vt:lpstr>
      <vt:lpstr>'4-DR 401-F-HIGI'!Durée_Totale_Vol_06</vt:lpstr>
      <vt:lpstr>'5-AQUILA AT01-F-GRFY'!Durée_Totale_Vol_07</vt:lpstr>
      <vt:lpstr>'6-AQUILA AT01-F-HDJR'!Durée_Totale_Vol_08</vt:lpstr>
      <vt:lpstr>'7-Cirrus SR22-N576CD '!Durée_Totale_Vol_09</vt:lpstr>
      <vt:lpstr>'8-CAP10 182 cv F-GDTF'!Durée_Totale_Vol_10</vt:lpstr>
      <vt:lpstr>'9-TB20-F-GNCL'!Durée_Totale_Vol_11</vt:lpstr>
      <vt:lpstr>Masse_à_vide_01</vt:lpstr>
      <vt:lpstr>'2-Cessna 152-F-GHLU'!Masse_à_vide_02</vt:lpstr>
      <vt:lpstr>'3-Cessna 172-F-HAFL'!Masse_à_vide_03</vt:lpstr>
      <vt:lpstr>Masse_à_vide_06</vt:lpstr>
      <vt:lpstr>Masse_à_vide_07</vt:lpstr>
      <vt:lpstr>'6-AQUILA AT01-F-HDJR'!Masse_à_vide_08</vt:lpstr>
      <vt:lpstr>'7-Cirrus SR22-N576CD '!Masse_à_vide_09</vt:lpstr>
      <vt:lpstr>Masse_à_vide_10</vt:lpstr>
      <vt:lpstr>'9-TB20-F-GNCL'!Masse_à_vide_11</vt:lpstr>
      <vt:lpstr>Masse_Atterrissage_01</vt:lpstr>
      <vt:lpstr>Masse_Atterrissage_02</vt:lpstr>
      <vt:lpstr>Masse_Atterrissage_03</vt:lpstr>
      <vt:lpstr>Masse_Atterrissage_06</vt:lpstr>
      <vt:lpstr>Masse_Atterrissage_07</vt:lpstr>
      <vt:lpstr>'6-AQUILA AT01-F-HDJR'!Masse_Atterrissage_08</vt:lpstr>
      <vt:lpstr>Masse_Atterrissage_09</vt:lpstr>
      <vt:lpstr>Masse_Atterrissage_10</vt:lpstr>
      <vt:lpstr>'9-TB20-F-GNCL'!Masse_Atterrissage_11</vt:lpstr>
      <vt:lpstr>'5-AQUILA AT01-F-GRFY'!Masse_Déco_Atterro_07</vt:lpstr>
      <vt:lpstr>'6-AQUILA AT01-F-HDJR'!Masse_Déco_Atterro_08</vt:lpstr>
      <vt:lpstr>'1-PA18-F-GLLN'!Masse_Décollage_01</vt:lpstr>
      <vt:lpstr>'2-Cessna 152-F-GHLU'!Masse_Décollage_02</vt:lpstr>
      <vt:lpstr>'3-Cessna 172-F-HAFL'!Masse_Décollage_03</vt:lpstr>
      <vt:lpstr>'4-DR 401-F-HIGI'!Masse_Décollage_06</vt:lpstr>
      <vt:lpstr>'5-AQUILA AT01-F-GRFY'!Masse_Décollage_07</vt:lpstr>
      <vt:lpstr>'6-AQUILA AT01-F-HDJR'!Masse_Décollage_08</vt:lpstr>
      <vt:lpstr>'7-Cirrus SR22-N576CD '!Masse_Décollage_09</vt:lpstr>
      <vt:lpstr>'8-CAP10 182 cv F-GDTF'!Masse_Décollage_10</vt:lpstr>
      <vt:lpstr>'9-TB20-F-GNCL'!Masse_Décollage_11</vt:lpstr>
      <vt:lpstr>Masse_Max_Atterrissage_Autorisée_10</vt:lpstr>
      <vt:lpstr>Masse_Max_au_Décollage_Autorisée_10</vt:lpstr>
      <vt:lpstr>Masse_Max_Décollage_01</vt:lpstr>
      <vt:lpstr>Masse_Max_Décollage_02</vt:lpstr>
      <vt:lpstr>Masse_Max_Décollage_03</vt:lpstr>
      <vt:lpstr>Masse_Max_Décollage_06</vt:lpstr>
      <vt:lpstr>Masse_Max_Décollage_07</vt:lpstr>
      <vt:lpstr>'6-AQUILA AT01-F-HDJR'!Masse_Max_Décollage_08</vt:lpstr>
      <vt:lpstr>Masse_Max_Décollage_09</vt:lpstr>
      <vt:lpstr>Masse_Max_Décollage_10</vt:lpstr>
      <vt:lpstr>'9-TB20-F-GNCL'!Masse_Max_Décollage_11</vt:lpstr>
      <vt:lpstr>Moment_Atterrissage_01</vt:lpstr>
      <vt:lpstr>'2-Cessna 152-F-GHLU'!Moment_Atterrissage_02</vt:lpstr>
      <vt:lpstr>'3-Cessna 172-F-HAFL'!Moment_Atterrissage_03</vt:lpstr>
      <vt:lpstr>Moment_Atterrissage_06</vt:lpstr>
      <vt:lpstr>'5-AQUILA AT01-F-GRFY'!Moment_Atterrissage_07</vt:lpstr>
      <vt:lpstr>'6-AQUILA AT01-F-HDJR'!Moment_Atterrissage_08</vt:lpstr>
      <vt:lpstr>Moment_Atterrissage_09</vt:lpstr>
      <vt:lpstr>Moment_Atterrissage_10</vt:lpstr>
      <vt:lpstr>'9-TB20-F-GNCL'!Moment_Atterrissage_11</vt:lpstr>
      <vt:lpstr>'1-PA18-F-GLLN'!Moment_Décollage_01</vt:lpstr>
      <vt:lpstr>'2-Cessna 152-F-GHLU'!Moment_Décollage_02</vt:lpstr>
      <vt:lpstr>'3-Cessna 172-F-HAFL'!Moment_Décollage_03</vt:lpstr>
      <vt:lpstr>'4-DR 401-F-HIGI'!Moment_Décollage_06</vt:lpstr>
      <vt:lpstr>'5-AQUILA AT01-F-GRFY'!Moment_Décollage_07</vt:lpstr>
      <vt:lpstr>'6-AQUILA AT01-F-HDJR'!Moment_Décollage_08</vt:lpstr>
      <vt:lpstr>'7-Cirrus SR22-N576CD '!Moment_Décollage_09</vt:lpstr>
      <vt:lpstr>'8-CAP10 182 cv F-GDTF'!Moment_Décollage_10</vt:lpstr>
      <vt:lpstr>'9-TB20-F-GNCL'!Moment_Décollage_11</vt:lpstr>
      <vt:lpstr>'1-PA18-F-GLLN'!Nbre_Aérodromes_01</vt:lpstr>
      <vt:lpstr>'2-Cessna 152-F-GHLU'!Nbre_Aérodromes_02</vt:lpstr>
      <vt:lpstr>'3-Cessna 172-F-HAFL'!Nbre_Aérodromes_03</vt:lpstr>
      <vt:lpstr>'4-DR 401-F-HIGI'!Nbre_Aérodromes_06</vt:lpstr>
      <vt:lpstr>'5-AQUILA AT01-F-GRFY'!Nbre_Aérodromes_07</vt:lpstr>
      <vt:lpstr>'6-AQUILA AT01-F-HDJR'!Nbre_Aérodromes_08</vt:lpstr>
      <vt:lpstr>'7-Cirrus SR22-N576CD '!Nbre_Aérodromes_09</vt:lpstr>
      <vt:lpstr>'8-CAP10 182 cv F-GDTF'!Nbre_Aérodromes_10</vt:lpstr>
      <vt:lpstr>'9-TB20-F-GNCL'!Nbre_Aérodromes_11</vt:lpstr>
      <vt:lpstr>Pourc_MAC_Atterrissage_10</vt:lpstr>
      <vt:lpstr>Pourc_MAC_Décollage_10</vt:lpstr>
      <vt:lpstr>'1-PA18-F-GLLN'!Print_Area</vt:lpstr>
      <vt:lpstr>'2-Cessna 152-F-GHLU'!Print_Area</vt:lpstr>
      <vt:lpstr>'3-Cessna 172-F-HAFL'!Print_Area</vt:lpstr>
      <vt:lpstr>'4-DR 401-F-HIGI'!Print_Area</vt:lpstr>
      <vt:lpstr>'5-AQUILA AT01-F-GRFY'!Print_Area</vt:lpstr>
      <vt:lpstr>'6-AQUILA AT01-F-HDJR'!Print_Area</vt:lpstr>
      <vt:lpstr>'7-Cirrus SR22-N576CD '!Print_Area</vt:lpstr>
      <vt:lpstr>'8-CAP10 182 cv F-GDTF'!Print_Area</vt:lpstr>
      <vt:lpstr>'9-TB20-F-GNCL'!Print_Area</vt:lpstr>
      <vt:lpstr>'A LIRE AVANT UTILISATION'!Print_Area</vt:lpstr>
      <vt:lpstr>'Gestion carburant'!Print_Area</vt:lpstr>
      <vt:lpstr>Réserve_Finale_01</vt:lpstr>
      <vt:lpstr>Réserve_Finale_02</vt:lpstr>
      <vt:lpstr>Réserve_Finale_03</vt:lpstr>
      <vt:lpstr>Réserve_Finale_06</vt:lpstr>
      <vt:lpstr>Réserve_Finale_07</vt:lpstr>
      <vt:lpstr>'6-AQUILA AT01-F-HDJR'!Réserve_Finale_08</vt:lpstr>
      <vt:lpstr>Réserve_Finale_09</vt:lpstr>
      <vt:lpstr>Réserve_Finale_10</vt:lpstr>
      <vt:lpstr>'9-TB20-F-GNCL'!Réserve_Finale_11</vt:lpstr>
      <vt:lpstr>'5-AQUILA AT01-F-GRFY'!Tableau_Moment_Atterrissage_07</vt:lpstr>
      <vt:lpstr>'6-AQUILA AT01-F-HDJR'!Tableau_Moment_Atterrissage_08</vt:lpstr>
      <vt:lpstr>Valeur_à_convertir</vt:lpstr>
      <vt:lpstr>'1-PA18-F-GLLN'!Zone_d_impression</vt:lpstr>
      <vt:lpstr>'2-Cessna 152-F-GHLU'!Zone_d_impression</vt:lpstr>
      <vt:lpstr>'3-Cessna 172-F-HAFL'!Zone_d_impression</vt:lpstr>
      <vt:lpstr>'4-DR 401-F-HIGI'!Zone_d_impression</vt:lpstr>
      <vt:lpstr>'5-AQUILA AT01-F-GRFY'!Zone_d_impression</vt:lpstr>
      <vt:lpstr>'6-AQUILA AT01-F-HDJR'!Zone_d_impression</vt:lpstr>
      <vt:lpstr>'7-Cirrus SR22-N576CD '!Zone_d_impression</vt:lpstr>
      <vt:lpstr>'8-CAP10 182 cv F-GDTF'!Zone_d_impression</vt:lpstr>
      <vt:lpstr>'9-TB20-F-GNCL'!Zone_d_impression</vt:lpstr>
      <vt:lpstr>Convertisseur!Zone_d_impression</vt:lpstr>
      <vt:lpstr>'Gestion carburant'!Zone_d_impression</vt:lpstr>
      <vt:lpstr>'1-PA18-F-GLLN'!Zone_d_impression_01</vt:lpstr>
      <vt:lpstr>'2-Cessna 152-F-GHLU'!Zone_d_impression_02</vt:lpstr>
      <vt:lpstr>'3-Cessna 172-F-HAFL'!Zone_d_impression_03</vt:lpstr>
      <vt:lpstr>'4-DR 401-F-HIGI'!Zone_d_impression_06</vt:lpstr>
      <vt:lpstr>'5-AQUILA AT01-F-GRFY'!Zone_d_impression_07</vt:lpstr>
      <vt:lpstr>'6-AQUILA AT01-F-HDJR'!Zone_d_impression_07</vt:lpstr>
      <vt:lpstr>'7-Cirrus SR22-N576CD '!Zone_d_impression_09</vt:lpstr>
      <vt:lpstr>'8-CAP10 182 cv F-GDTF'!Zone_d_impression_10</vt:lpstr>
      <vt:lpstr>'9-TB20-F-GNCL'!Zone_d_impression_11</vt:lpstr>
      <vt:lpstr>'A LIRE AVANT UTILISATION'!Zone_d_impression_Intro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Masse &amp; Centrage Avions ACBA</dc:title>
  <dc:subject>Devis Masse &amp; Centrage</dc:subject>
  <dc:creator>Marc BIELSA</dc:creator>
  <cp:keywords>ACBA</cp:keywords>
  <dc:description>Devis masse &amp; Centrage des avions de l'ACBA</dc:description>
  <cp:lastModifiedBy>Marc BIELSA</cp:lastModifiedBy>
  <cp:lastPrinted>2023-08-17T15:56:32Z</cp:lastPrinted>
  <dcterms:created xsi:type="dcterms:W3CDTF">2020-02-28T15:58:35Z</dcterms:created>
  <dcterms:modified xsi:type="dcterms:W3CDTF">2025-03-04T15:10:52Z</dcterms:modified>
  <cp:category>Aéronautique</cp:category>
</cp:coreProperties>
</file>